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2565" yWindow="1020" windowWidth="31080" windowHeight="16440" tabRatio="522"/>
  </bookViews>
  <sheets>
    <sheet name="1. Kind und Zusammenfassung" sheetId="7" r:id="rId1"/>
    <sheet name="2. Kind" sheetId="17" r:id="rId2"/>
    <sheet name="3. Kind" sheetId="18" r:id="rId3"/>
    <sheet name="Tabelle Betreuungsgutscheine" sheetId="2" r:id="rId4"/>
  </sheets>
  <definedNames>
    <definedName name="_xlnm.Print_Area" localSheetId="0">'1. Kind und Zusammenfassung'!$A$1:$J$134</definedName>
    <definedName name="_xlnm.Print_Area" localSheetId="1">'2. Kind'!$A$1:$J$90</definedName>
    <definedName name="_xlnm.Print_Area" localSheetId="2">'3. Kind'!$A$1:$J$89</definedName>
    <definedName name="_xlnm.Print_Titles" localSheetId="0">'1. Kind und Zusammenfassung'!$2:$2</definedName>
    <definedName name="_xlnm.Print_Titles" localSheetId="1">'2. Kind'!$2:$3</definedName>
    <definedName name="_xlnm.Print_Titles" localSheetId="2">'3. Kind'!$2:$3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2" i="7" l="1"/>
  <c r="F86" i="18" l="1"/>
  <c r="F76" i="18"/>
  <c r="F66" i="18"/>
  <c r="F54" i="18"/>
  <c r="D39" i="18"/>
  <c r="F42" i="18" s="1"/>
  <c r="D10" i="18"/>
  <c r="B10" i="18"/>
  <c r="B8" i="18"/>
  <c r="F8" i="18" s="1"/>
  <c r="H8" i="18" s="1"/>
  <c r="J2" i="18"/>
  <c r="B9" i="17"/>
  <c r="F87" i="17"/>
  <c r="F77" i="17"/>
  <c r="F67" i="17"/>
  <c r="F55" i="17"/>
  <c r="D40" i="17"/>
  <c r="F10" i="18" l="1"/>
  <c r="H10" i="18" s="1"/>
  <c r="H12" i="18" s="1"/>
  <c r="H81" i="18"/>
  <c r="H83" i="18" s="1"/>
  <c r="B83" i="18" s="1"/>
  <c r="F81" i="18" s="1"/>
  <c r="F34" i="18"/>
  <c r="H32" i="18" s="1"/>
  <c r="H34" i="18" s="1"/>
  <c r="B34" i="18" s="1"/>
  <c r="F32" i="18" s="1"/>
  <c r="F51" i="18"/>
  <c r="F73" i="18"/>
  <c r="F39" i="18"/>
  <c r="F63" i="18"/>
  <c r="F43" i="17"/>
  <c r="D11" i="17"/>
  <c r="B11" i="17"/>
  <c r="F9" i="17"/>
  <c r="H9" i="17" s="1"/>
  <c r="F40" i="17"/>
  <c r="J2" i="17"/>
  <c r="J9" i="18" l="1"/>
  <c r="J72" i="18"/>
  <c r="J33" i="18"/>
  <c r="J67" i="18"/>
  <c r="J82" i="18"/>
  <c r="J68" i="18"/>
  <c r="J66" i="18" s="1"/>
  <c r="J69" i="18" s="1"/>
  <c r="J77" i="18"/>
  <c r="J78" i="18"/>
  <c r="J76" i="18" s="1"/>
  <c r="J79" i="18" s="1"/>
  <c r="J44" i="18"/>
  <c r="J42" i="18" s="1"/>
  <c r="J45" i="18" s="1"/>
  <c r="J50" i="18"/>
  <c r="J34" i="18"/>
  <c r="J32" i="18" s="1"/>
  <c r="J35" i="18" s="1"/>
  <c r="J83" i="18"/>
  <c r="J81" i="18" s="1"/>
  <c r="J84" i="18" s="1"/>
  <c r="J87" i="18"/>
  <c r="J88" i="18"/>
  <c r="J86" i="18" s="1"/>
  <c r="J89" i="18" s="1"/>
  <c r="J55" i="18"/>
  <c r="J43" i="18"/>
  <c r="J62" i="18"/>
  <c r="J38" i="18"/>
  <c r="J56" i="18"/>
  <c r="J54" i="18" s="1"/>
  <c r="J57" i="18" s="1"/>
  <c r="H71" i="18"/>
  <c r="H73" i="18" s="1"/>
  <c r="B73" i="18" s="1"/>
  <c r="F71" i="18" s="1"/>
  <c r="J73" i="18" s="1"/>
  <c r="J71" i="18" s="1"/>
  <c r="J74" i="18" s="1"/>
  <c r="H49" i="18"/>
  <c r="H51" i="18" s="1"/>
  <c r="H61" i="18"/>
  <c r="H63" i="18" s="1"/>
  <c r="H37" i="18"/>
  <c r="H39" i="18" s="1"/>
  <c r="B39" i="18" s="1"/>
  <c r="F37" i="18" s="1"/>
  <c r="J39" i="18" s="1"/>
  <c r="J37" i="18" s="1"/>
  <c r="J40" i="18" s="1"/>
  <c r="F52" i="17"/>
  <c r="H38" i="17"/>
  <c r="F11" i="17"/>
  <c r="H11" i="17" s="1"/>
  <c r="H13" i="17" s="1"/>
  <c r="H62" i="17"/>
  <c r="H64" i="17" s="1"/>
  <c r="F35" i="17"/>
  <c r="H33" i="17" s="1"/>
  <c r="H35" i="17" s="1"/>
  <c r="F74" i="17"/>
  <c r="H72" i="17" s="1"/>
  <c r="F84" i="17"/>
  <c r="H82" i="17" s="1"/>
  <c r="J56" i="17" l="1"/>
  <c r="J88" i="17"/>
  <c r="J78" i="17"/>
  <c r="J68" i="17"/>
  <c r="H40" i="17"/>
  <c r="B40" i="17" s="1"/>
  <c r="F38" i="17" s="1"/>
  <c r="J40" i="17" s="1"/>
  <c r="J38" i="17" s="1"/>
  <c r="B51" i="18"/>
  <c r="F49" i="18" s="1"/>
  <c r="J51" i="18" s="1"/>
  <c r="J49" i="18" s="1"/>
  <c r="J52" i="18" s="1"/>
  <c r="B63" i="18"/>
  <c r="F61" i="18" s="1"/>
  <c r="J63" i="18" s="1"/>
  <c r="J61" i="18" s="1"/>
  <c r="J64" i="18" s="1"/>
  <c r="J79" i="17"/>
  <c r="J69" i="17"/>
  <c r="J67" i="17" s="1"/>
  <c r="J70" i="17" s="1"/>
  <c r="J89" i="17"/>
  <c r="J87" i="17" s="1"/>
  <c r="J90" i="17" s="1"/>
  <c r="B35" i="17"/>
  <c r="F33" i="17" s="1"/>
  <c r="J35" i="17" s="1"/>
  <c r="J33" i="17" s="1"/>
  <c r="J77" i="17"/>
  <c r="J80" i="17" s="1"/>
  <c r="J57" i="17"/>
  <c r="H50" i="17"/>
  <c r="H52" i="17" s="1"/>
  <c r="J39" i="17"/>
  <c r="J44" i="17"/>
  <c r="J45" i="17"/>
  <c r="J43" i="17" s="1"/>
  <c r="J46" i="17" s="1"/>
  <c r="J10" i="17"/>
  <c r="B64" i="17"/>
  <c r="F62" i="17" s="1"/>
  <c r="J64" i="17" s="1"/>
  <c r="J62" i="17" s="1"/>
  <c r="J65" i="17" s="1"/>
  <c r="J34" i="17"/>
  <c r="J83" i="17"/>
  <c r="J63" i="17"/>
  <c r="J51" i="17"/>
  <c r="J73" i="17"/>
  <c r="H74" i="17"/>
  <c r="H84" i="17"/>
  <c r="J41" i="17" l="1"/>
  <c r="J36" i="17"/>
  <c r="J55" i="17"/>
  <c r="J58" i="17" s="1"/>
  <c r="D131" i="7" s="1"/>
  <c r="B52" i="17"/>
  <c r="F50" i="17" s="1"/>
  <c r="J52" i="17" s="1"/>
  <c r="J50" i="17" s="1"/>
  <c r="J53" i="17" s="1"/>
  <c r="B74" i="17"/>
  <c r="B84" i="17"/>
  <c r="F72" i="17" l="1"/>
  <c r="J74" i="17" s="1"/>
  <c r="J72" i="17" s="1"/>
  <c r="J75" i="17" s="1"/>
  <c r="F82" i="17"/>
  <c r="J84" i="17" s="1"/>
  <c r="J82" i="17" s="1"/>
  <c r="J85" i="17" s="1"/>
  <c r="H21" i="7" l="1"/>
  <c r="D119" i="7"/>
  <c r="F24" i="7"/>
  <c r="F44" i="7"/>
  <c r="F49" i="7"/>
  <c r="F25" i="7"/>
  <c r="H27" i="7"/>
  <c r="H19" i="7"/>
  <c r="F11" i="7"/>
  <c r="H11" i="7" s="1"/>
  <c r="F13" i="7"/>
  <c r="H13" i="7" s="1"/>
  <c r="D121" i="7"/>
  <c r="D115" i="7"/>
  <c r="A5" i="2"/>
  <c r="A6" i="2"/>
  <c r="A7" i="2"/>
  <c r="A8" i="2"/>
  <c r="A9" i="2"/>
  <c r="A10" i="2"/>
  <c r="A11" i="2"/>
  <c r="A12" i="2"/>
  <c r="A13" i="2"/>
  <c r="A14" i="2"/>
  <c r="A15" i="2"/>
  <c r="A16" i="2"/>
  <c r="C4" i="2"/>
  <c r="C5" i="2"/>
  <c r="C6" i="2"/>
  <c r="C7" i="2"/>
  <c r="C8" i="2"/>
  <c r="C9" i="2"/>
  <c r="C10" i="2"/>
  <c r="C11" i="2"/>
  <c r="C12" i="2"/>
  <c r="C13" i="2"/>
  <c r="C14" i="2"/>
  <c r="C15" i="2"/>
  <c r="F62" i="7"/>
  <c r="F81" i="7" l="1"/>
  <c r="J12" i="7"/>
  <c r="F51" i="7"/>
  <c r="F55" i="7" s="1"/>
  <c r="F54" i="7" s="1"/>
  <c r="F16" i="18" s="1"/>
  <c r="F83" i="18" s="1"/>
  <c r="H15" i="7"/>
  <c r="F93" i="7"/>
  <c r="F111" i="7"/>
  <c r="F106" i="7"/>
  <c r="H104" i="7" s="1"/>
  <c r="F101" i="7"/>
  <c r="F86" i="7"/>
  <c r="H79" i="7"/>
  <c r="H81" i="7" s="1"/>
  <c r="D117" i="7" l="1"/>
  <c r="F17" i="17"/>
  <c r="F64" i="17" s="1"/>
  <c r="J110" i="7"/>
  <c r="J100" i="7"/>
  <c r="J105" i="7"/>
  <c r="J92" i="7"/>
  <c r="J85" i="7"/>
  <c r="J80" i="7"/>
  <c r="H91" i="7"/>
  <c r="H106" i="7"/>
  <c r="B106" i="7" s="1"/>
  <c r="F104" i="7" s="1"/>
  <c r="J106" i="7" s="1"/>
  <c r="J104" i="7" s="1"/>
  <c r="J107" i="7" s="1"/>
  <c r="B81" i="7"/>
  <c r="F79" i="7" s="1"/>
  <c r="J81" i="7" s="1"/>
  <c r="H109" i="7"/>
  <c r="H111" i="7" s="1"/>
  <c r="H84" i="7"/>
  <c r="H101" i="7"/>
  <c r="H99" i="7"/>
  <c r="H93" i="7" l="1"/>
  <c r="B93" i="7" s="1"/>
  <c r="F91" i="7" s="1"/>
  <c r="J93" i="7" s="1"/>
  <c r="J91" i="7" s="1"/>
  <c r="H86" i="7"/>
  <c r="B86" i="7" s="1"/>
  <c r="F84" i="7" s="1"/>
  <c r="J86" i="7" s="1"/>
  <c r="J84" i="7" s="1"/>
  <c r="J87" i="7" s="1"/>
  <c r="D125" i="7" s="1"/>
  <c r="B101" i="7"/>
  <c r="F99" i="7" s="1"/>
  <c r="J101" i="7" s="1"/>
  <c r="J99" i="7" s="1"/>
  <c r="J102" i="7" s="1"/>
  <c r="B111" i="7"/>
  <c r="F109" i="7" s="1"/>
  <c r="J111" i="7" s="1"/>
  <c r="J109" i="7" s="1"/>
  <c r="J112" i="7" s="1"/>
  <c r="J79" i="7"/>
  <c r="J82" i="7" s="1"/>
  <c r="D123" i="7" s="1"/>
  <c r="D129" i="7" l="1"/>
  <c r="J94" i="7"/>
  <c r="D127" i="7" s="1"/>
  <c r="D133" i="7" l="1"/>
  <c r="F127" i="7"/>
</calcChain>
</file>

<file path=xl/comments1.xml><?xml version="1.0" encoding="utf-8"?>
<comments xmlns="http://schemas.openxmlformats.org/spreadsheetml/2006/main">
  <authors>
    <author>Claudia</author>
    <author>Peter Hruza</author>
  </authors>
  <commentList>
    <comment ref="F32" authorId="0">
      <text>
        <r>
          <rPr>
            <sz val="9"/>
            <color indexed="81"/>
            <rFont val="Gill Sans MT"/>
            <family val="2"/>
          </rPr>
          <t>Bitte geben Sie Ihr aktuellstes steuerbares Einkommen an. Sofern Sie mit einer Partnerin/ einem Partner seit mehr als zwei Jahren zusammenleben, gilt dies als feste Lebensgemeinschaft. Das Einkommen der Partnerin/des Partners wird angerechnet. Bitte fügen Sie in diesem Fall das Total beider Einkommen ein.</t>
        </r>
      </text>
    </comment>
    <comment ref="F34" authorId="1">
      <text>
        <r>
          <rPr>
            <sz val="9"/>
            <color indexed="81"/>
            <rFont val="Gill Sans MT"/>
            <family val="2"/>
          </rPr>
          <t>Liegenschaftsunterhaltkosten werden berücksichtigt, wenn bei der Steuererklärung eine Eingabe bei der Ziffer 2821 erfolgt ist. Zum massgebenden Einkommen hinzugerechnet werden die Liegenschaftsunterhaltskosten (Ziffer 2821), die den Pauschalabzug (Ziffer 2811) übersteigen.  
Für die Berechnung der pauschalen Liegenschaftsunterhaltskosten (Ziffer 2811) gelten folgende Bestimmungen:
- 10 % Pauschalabzug von den Liegenschaftseinkünften, wenn das Gebäude bis und mit 10 Jahre alt ist
- 20 % Pauschalabzug von den Liegenschaftseinkünften, wenn das Gebäude mehr als 10 Jahre alt ist</t>
        </r>
      </text>
    </comment>
    <comment ref="F36" authorId="1">
      <text>
        <r>
          <rPr>
            <sz val="9"/>
            <color indexed="81"/>
            <rFont val="Gill Sans MT"/>
            <family val="2"/>
          </rPr>
          <t>Einkäufe in die berufliche Vorsorge (2. Säule) und die gebundene Selbstvorsorge (Säule 3a), werden angerechnet.</t>
        </r>
        <r>
          <rPr>
            <sz val="9"/>
            <color indexed="81"/>
            <rFont val="Segoe UI"/>
            <family val="2"/>
          </rPr>
          <t xml:space="preserve">
</t>
        </r>
      </text>
    </comment>
    <comment ref="F38" authorId="1">
      <text>
        <r>
          <rPr>
            <sz val="9"/>
            <color indexed="81"/>
            <rFont val="Gill Sans MT"/>
            <family val="2"/>
          </rPr>
          <t>Einkäufe in die berufliche Vorsorge (2. Säule) und die gebundene Selbstvorsorge (Säule 3a), werden angerechnet.</t>
        </r>
        <r>
          <rPr>
            <sz val="9"/>
            <color indexed="81"/>
            <rFont val="Segoe UI"/>
            <family val="2"/>
          </rPr>
          <t xml:space="preserve">
</t>
        </r>
      </text>
    </comment>
    <comment ref="D44" authorId="1">
      <text>
        <r>
          <rPr>
            <sz val="9"/>
            <color indexed="81"/>
            <rFont val="Gill Sans MT"/>
            <family val="2"/>
          </rPr>
          <t>Es werden 20% des steuerbaren Vermögens angerechnet.</t>
        </r>
        <r>
          <rPr>
            <sz val="9"/>
            <color indexed="81"/>
            <rFont val="Segoe UI"/>
            <family val="2"/>
          </rPr>
          <t xml:space="preserve">
</t>
        </r>
      </text>
    </comment>
    <comment ref="D46" authorId="1">
      <text>
        <r>
          <rPr>
            <sz val="9"/>
            <color indexed="81"/>
            <rFont val="Gill Sans MT"/>
            <family val="2"/>
          </rPr>
          <t>Der pauschale Einkommensabzug wird jährlich neu festgesetzt.</t>
        </r>
      </text>
    </comment>
    <comment ref="D47" authorId="0">
      <text>
        <r>
          <rPr>
            <sz val="9"/>
            <color indexed="81"/>
            <rFont val="Gill Sans MT"/>
            <family val="2"/>
          </rPr>
          <t>Der pauschale Einkommensabzug wird jährlich neu festgelegt.</t>
        </r>
      </text>
    </comment>
    <comment ref="D49" authorId="1">
      <text>
        <r>
          <rPr>
            <sz val="9"/>
            <color indexed="81"/>
            <rFont val="Gill Sans MT"/>
            <family val="2"/>
          </rPr>
          <t>Der pauschale Einkommensabzug wird jährlich neu festgesetzt.</t>
        </r>
      </text>
    </comment>
  </commentList>
</comments>
</file>

<file path=xl/sharedStrings.xml><?xml version="1.0" encoding="utf-8"?>
<sst xmlns="http://schemas.openxmlformats.org/spreadsheetml/2006/main" count="217" uniqueCount="97">
  <si>
    <t>Massgebendes Einkommen</t>
  </si>
  <si>
    <t>Kostenbeteiligung Eltern pro Tag</t>
  </si>
  <si>
    <t>Kindertagesstätte</t>
  </si>
  <si>
    <t>Tagesfamilie</t>
  </si>
  <si>
    <t>Kinder
bis 18 Monate</t>
  </si>
  <si>
    <t>Kinder
über 18 Monate</t>
  </si>
  <si>
    <t>von</t>
  </si>
  <si>
    <t>bis</t>
  </si>
  <si>
    <t>massgebendes Einkommen</t>
  </si>
  <si>
    <t>bitte wählen</t>
  </si>
  <si>
    <t>Erwerbspensum</t>
  </si>
  <si>
    <t>Total Pensum</t>
  </si>
  <si>
    <t xml:space="preserve"> </t>
  </si>
  <si>
    <t>Name des Kindes</t>
  </si>
  <si>
    <t>Geburtsdatum</t>
  </si>
  <si>
    <t>Bezieht die Familie wirtschaftliche Sozialhilfe?</t>
  </si>
  <si>
    <t>Anzahl betreute Stunden pro Woche</t>
  </si>
  <si>
    <t>Betreuungseinrichtung</t>
  </si>
  <si>
    <t>anspruchsberechtigtes Pensum</t>
  </si>
  <si>
    <t>Zahlungsdaten</t>
  </si>
  <si>
    <t>erstellt am:</t>
  </si>
  <si>
    <t>Betreuungsbeginn</t>
  </si>
  <si>
    <t>erstmalige Auszahlung</t>
  </si>
  <si>
    <t>Wird die Familie quellenbesteuert?</t>
  </si>
  <si>
    <t>Kostenbeteiligung Eltern pro Stunde</t>
  </si>
  <si>
    <t>Betreuungsform</t>
  </si>
  <si>
    <t>Ja</t>
  </si>
  <si>
    <t>Kinder unter 18 Monaten</t>
  </si>
  <si>
    <t>über 18 Mt bis Kindergarten</t>
  </si>
  <si>
    <t>Anzahl betreute Tage
pro Woche</t>
  </si>
  <si>
    <t>Betrag pro Monat:</t>
  </si>
  <si>
    <t>Alleinerziehend</t>
  </si>
  <si>
    <t>zwei Erziehungsberechtigte / feste Lebensgemeinschaft</t>
  </si>
  <si>
    <t>1. Person</t>
  </si>
  <si>
    <t>Vollkostentarif pro Tag</t>
  </si>
  <si>
    <t>Vollkostentarif pro Stunde</t>
  </si>
  <si>
    <t>2. Person</t>
  </si>
  <si>
    <t>2. Kind</t>
  </si>
  <si>
    <t>Geschwisterbonus 2. Kind</t>
  </si>
  <si>
    <t>1. Kind</t>
  </si>
  <si>
    <t>Geschwisterbonus</t>
  </si>
  <si>
    <t>Auszahlung pro Monat</t>
  </si>
  <si>
    <t>Bonus pro Stunde</t>
  </si>
  <si>
    <t>Bonus pro Tag</t>
  </si>
  <si>
    <t>Kitatarif unter 18 Monate</t>
  </si>
  <si>
    <t>Kitatarif über 18 Monate</t>
  </si>
  <si>
    <t>Geschwisterbonus 3. Kind</t>
  </si>
  <si>
    <t>Weitere finanzielle Angaben</t>
  </si>
  <si>
    <t>Bezieht die Familie Elternschaftsbeihilfe?</t>
  </si>
  <si>
    <t>Betrag Arbeitgeber (Total alle Kinder)</t>
  </si>
  <si>
    <t>Elternschaftsbeihilfe (Total alle Kinder)</t>
  </si>
  <si>
    <t>Betreuungsgutschein
pro Monat</t>
  </si>
  <si>
    <t>Betreuungsgutschein
pro Tag</t>
  </si>
  <si>
    <t>3. Kind</t>
  </si>
  <si>
    <t>Liegt eine Berechnung des Anspruchs auf Prämienverbilligung vor?</t>
  </si>
  <si>
    <t>Ist die Berechnung mehr älter als zwei Jahre?</t>
  </si>
  <si>
    <t>Einkommen gemäss Berechnung Prämienverbilligung</t>
  </si>
  <si>
    <t>Einkommen minus 25%</t>
  </si>
  <si>
    <t>Einkommen plus 25%</t>
  </si>
  <si>
    <t>Hat sich Ihre finanzielle Situation seit der letzten Berechnung der Prämienverbilligung um mehr als 25% verändert?</t>
  </si>
  <si>
    <t>Individuelle Berechnung des Massgebenden Einkommens</t>
  </si>
  <si>
    <t>Steuerbares Einkommen (Ziff. 600)</t>
  </si>
  <si>
    <t>Liegenschaftsunterhaltskosten, die den Pauschalabzug übersteigen (Ziff. 2811, 2821)</t>
  </si>
  <si>
    <t>Einkäufe 2. Säule 2 (Ziff. 371, 372)</t>
  </si>
  <si>
    <t>Beiträge 3. Säule (Ziff. 381, 382)</t>
  </si>
  <si>
    <t>Freiwillige Zuwendungen und Zuwendungen an politische Parteien (Ziff. 392, 393)</t>
  </si>
  <si>
    <t>Sozialabzug für tiefe Einkommen (Ziff. 602)</t>
  </si>
  <si>
    <t>Steuerbares Vermögen (Ziff. 800)</t>
  </si>
  <si>
    <t>Pauschaler Einkommensabzug Erziehungsberechtigte</t>
  </si>
  <si>
    <t>siehe www.sva-ag.ch unter "Richtprämien"</t>
  </si>
  <si>
    <t>Pauschaler Einkommensabzug Kinder</t>
  </si>
  <si>
    <t>Massgebendes Einkommen aus individueller Berechnung</t>
  </si>
  <si>
    <t>Massgebendes Einkommen für Berechnung Betreuungsgutscheine</t>
  </si>
  <si>
    <t>individuelle Berechnung 25% kleiner oder grösser als IPV?</t>
  </si>
  <si>
    <t>finanzielle Beteiligung durch Arbeitgeber monatlich (alle Kinder)</t>
  </si>
  <si>
    <t>Tagesstrukturen</t>
  </si>
  <si>
    <t>Vollkostentarif pro Modul</t>
  </si>
  <si>
    <t>Anzahl besuchte Module pro Woche</t>
  </si>
  <si>
    <t>Betreuungsgutschein pro Modul</t>
  </si>
  <si>
    <t>Kostenbeteiligung Eltern pro Modul</t>
  </si>
  <si>
    <t>Betreuungsgutschein pro Monat</t>
  </si>
  <si>
    <t>Mittagstisch</t>
  </si>
  <si>
    <t>Nachmittag 1 (13.30 - 15.05)</t>
  </si>
  <si>
    <t>Nachmittag II (15.05-18.00)</t>
  </si>
  <si>
    <t>Schulergänzende Betreuung</t>
  </si>
  <si>
    <t>Nachmittag 1 13.30 bis 15.05</t>
  </si>
  <si>
    <t>Nachmittag II 15.05 bis 18.00</t>
  </si>
  <si>
    <t>Minimaler Selbstbehalt</t>
  </si>
  <si>
    <t>Betreuungsgutschein
pro Stunde</t>
  </si>
  <si>
    <t>für alle Kinder:</t>
  </si>
  <si>
    <t>Bonus pro Modul</t>
  </si>
  <si>
    <t>Nein</t>
  </si>
  <si>
    <t>Gutscheinrechner für Betreuungsgutscheine - 2. Kind</t>
  </si>
  <si>
    <t>Gutscheinrechner für Betreuungsgutscheine - 3. Kind</t>
  </si>
  <si>
    <t>Familienergänzende Kinderbetreuung der Gemeinde Killwangen</t>
  </si>
  <si>
    <t xml:space="preserve">Hinweis: Mit dem Gutscheinrechner können Sie die voraussichtiche Höhe der Betreuungsgutscheine  berechnen.
Die Angaben sind unverbindlich. Für eine verbindliche Bestätigung reichen Sie bitte den Antrag mittels Formular bei der Gemeinde ein.
</t>
  </si>
  <si>
    <t>Gutscheinrechner für Betreuungsgutscheine - 1. Kind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</si>
</sst>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quot;CHF&quot;\ * #,##0.00_ ;_ &quot;CHF&quot;\ * \-#,##0.00_ ;_ &quot;CHF&quot;\ * &quot;-&quot;??_ ;_ @_ "/>
    <numFmt numFmtId="165" formatCode="_ &quot;CHF&quot;\ * #,##0_ ;_ &quot;CHF&quot;\ * \-#,##0_ ;_ &quot;CHF&quot;\ * &quot;-&quot;??_ ;_ @_ "/>
    <numFmt numFmtId="166" formatCode="mmmm\ yyyy"/>
    <numFmt numFmtId="167" formatCode="#,##0.0_ ;\-#,##0.0\ "/>
    <numFmt numFmtId="168" formatCode="0.0"/>
    <numFmt numFmtId="169" formatCode="_ &quot;CHF&quot;\ * #,##0.0_ ;_ &quot;CHF&quot;\ * \-#,##0.0_ ;_ &quot;CHF&quot;\ * &quot;-&quot;??_ ;_ @_ "/>
  </numFmts>
  <fonts count="19" x14ac:knownFonts="1">
    <font>
      <sz val="10"/>
      <color theme="1"/>
      <name val="Arial"/>
      <family val="2"/>
    </font>
    <font>
      <sz val="10"/>
      <color theme="1"/>
      <name val="Arial"/>
      <family val="2"/>
    </font>
    <font>
      <b/>
      <sz val="11"/>
      <color theme="0"/>
      <name val="Gill Sans MT"/>
      <family val="2"/>
    </font>
    <font>
      <sz val="11"/>
      <color rgb="FF000000"/>
      <name val="Gill Sans MT"/>
      <family val="2"/>
    </font>
    <font>
      <sz val="11"/>
      <name val="Gill Sans MT"/>
      <family val="2"/>
    </font>
    <font>
      <sz val="9"/>
      <color indexed="81"/>
      <name val="Gill Sans MT"/>
      <family val="2"/>
    </font>
    <font>
      <b/>
      <sz val="11"/>
      <name val="Gill Sans MT"/>
      <family val="2"/>
    </font>
    <font>
      <sz val="9"/>
      <name val="Gill Sans MT"/>
      <family val="2"/>
    </font>
    <font>
      <sz val="10"/>
      <name val="Gill Sans MT"/>
      <family val="2"/>
    </font>
    <font>
      <b/>
      <sz val="14"/>
      <name val="Gill Sans MT"/>
      <family val="2"/>
    </font>
    <font>
      <sz val="8"/>
      <name val="Gill Sans MT"/>
      <family val="2"/>
    </font>
    <font>
      <sz val="7"/>
      <name val="Gill Sans MT"/>
      <family val="2"/>
    </font>
    <font>
      <u/>
      <sz val="10"/>
      <color theme="10"/>
      <name val="Arial"/>
      <family val="2"/>
    </font>
    <font>
      <sz val="12"/>
      <name val="Gill Sans MT"/>
      <family val="2"/>
    </font>
    <font>
      <sz val="9"/>
      <color indexed="81"/>
      <name val="Segoe UI"/>
      <family val="2"/>
    </font>
    <font>
      <sz val="11"/>
      <color theme="1"/>
      <name val="Arial"/>
      <family val="2"/>
    </font>
    <font>
      <sz val="11"/>
      <color theme="1"/>
      <name val="Gill Sans MT"/>
      <family val="2"/>
    </font>
    <font>
      <u/>
      <sz val="11"/>
      <color theme="10"/>
      <name val="Gill Sans MT"/>
      <family val="2"/>
    </font>
    <font>
      <sz val="11"/>
      <color rgb="FFFF0000"/>
      <name val="Gill Sans MT"/>
      <family val="2"/>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313C98"/>
        <bgColor indexed="64"/>
      </patternFill>
    </fill>
    <fill>
      <patternFill patternType="solid">
        <fgColor rgb="FFBAE8FC"/>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5" tint="0.59999389629810485"/>
        <bgColor indexed="64"/>
      </patternFill>
    </fill>
  </fills>
  <borders count="12">
    <border>
      <left/>
      <right/>
      <top/>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style="medium">
        <color theme="0" tint="-0.14996795556505021"/>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right/>
      <top/>
      <bottom style="medium">
        <color rgb="FF313C98"/>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style="medium">
        <color theme="0" tint="-0.14990691854609822"/>
      </left>
      <right/>
      <top style="medium">
        <color theme="0" tint="-0.14990691854609822"/>
      </top>
      <bottom style="medium">
        <color theme="0" tint="-0.14990691854609822"/>
      </bottom>
      <diagonal/>
    </border>
    <border>
      <left style="medium">
        <color theme="0" tint="-0.14999847407452621"/>
      </left>
      <right/>
      <top/>
      <bottom/>
      <diagonal/>
    </border>
    <border>
      <left style="medium">
        <color theme="0" tint="-0.14990691854609822"/>
      </left>
      <right style="medium">
        <color theme="0" tint="-0.14999847407452621"/>
      </right>
      <top style="medium">
        <color theme="0" tint="-0.14996795556505021"/>
      </top>
      <bottom style="medium">
        <color theme="0" tint="-0.14990691854609822"/>
      </bottom>
      <diagonal/>
    </border>
    <border>
      <left/>
      <right/>
      <top style="medium">
        <color theme="0" tint="-0.14990691854609822"/>
      </top>
      <bottom style="medium">
        <color theme="0" tint="-0.14990691854609822"/>
      </bottom>
      <diagonal/>
    </border>
    <border>
      <left style="medium">
        <color theme="0" tint="-0.14990691854609822"/>
      </left>
      <right style="medium">
        <color theme="0" tint="-0.14999847407452621"/>
      </right>
      <top style="medium">
        <color theme="0" tint="-0.14990691854609822"/>
      </top>
      <bottom style="medium">
        <color theme="0" tint="-0.14990691854609822"/>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cellStyleXfs>
  <cellXfs count="115">
    <xf numFmtId="0" fontId="0" fillId="0" borderId="0" xfId="0"/>
    <xf numFmtId="165" fontId="3" fillId="3" borderId="1" xfId="1" applyNumberFormat="1" applyFont="1" applyFill="1" applyBorder="1" applyAlignment="1">
      <alignment horizontal="center" vertical="center"/>
    </xf>
    <xf numFmtId="164" fontId="4" fillId="2" borderId="0" xfId="1" applyFont="1" applyFill="1" applyBorder="1" applyAlignment="1" applyProtection="1">
      <alignment horizontal="right"/>
      <protection locked="0"/>
    </xf>
    <xf numFmtId="167" fontId="4" fillId="2" borderId="0" xfId="1" applyNumberFormat="1" applyFont="1" applyFill="1" applyBorder="1" applyAlignment="1" applyProtection="1">
      <alignment horizontal="right"/>
      <protection locked="0"/>
    </xf>
    <xf numFmtId="164" fontId="6" fillId="4" borderId="0" xfId="1" applyFont="1" applyFill="1" applyBorder="1" applyAlignment="1" applyProtection="1">
      <alignment horizontal="right"/>
    </xf>
    <xf numFmtId="14" fontId="4" fillId="2" borderId="0" xfId="0" applyNumberFormat="1" applyFont="1" applyFill="1" applyBorder="1" applyAlignment="1" applyProtection="1">
      <alignment horizontal="center"/>
      <protection locked="0"/>
    </xf>
    <xf numFmtId="165" fontId="6" fillId="4" borderId="0" xfId="1" applyNumberFormat="1" applyFont="1" applyFill="1" applyBorder="1" applyAlignment="1" applyProtection="1">
      <alignment horizontal="right"/>
    </xf>
    <xf numFmtId="166" fontId="4" fillId="4" borderId="0" xfId="0" applyNumberFormat="1" applyFont="1" applyFill="1" applyBorder="1" applyAlignment="1" applyProtection="1">
      <alignment horizontal="right"/>
    </xf>
    <xf numFmtId="165" fontId="4" fillId="4" borderId="0" xfId="1" applyNumberFormat="1" applyFont="1" applyFill="1" applyBorder="1" applyAlignment="1" applyProtection="1">
      <alignment horizontal="right"/>
    </xf>
    <xf numFmtId="164" fontId="6" fillId="4" borderId="0" xfId="1" applyNumberFormat="1" applyFont="1" applyFill="1" applyBorder="1" applyAlignment="1" applyProtection="1">
      <alignment horizontal="right"/>
    </xf>
    <xf numFmtId="164" fontId="6" fillId="6" borderId="0" xfId="1" applyNumberFormat="1" applyFont="1" applyFill="1" applyBorder="1" applyAlignment="1" applyProtection="1">
      <alignment horizontal="right"/>
    </xf>
    <xf numFmtId="9" fontId="4" fillId="2" borderId="0" xfId="2" applyFont="1" applyFill="1" applyBorder="1" applyAlignment="1" applyProtection="1">
      <alignment horizontal="center"/>
      <protection locked="0"/>
    </xf>
    <xf numFmtId="9" fontId="4" fillId="2" borderId="0" xfId="2" applyFont="1" applyFill="1" applyBorder="1" applyAlignment="1" applyProtection="1">
      <alignment horizontal="center" vertical="center"/>
      <protection locked="0"/>
    </xf>
    <xf numFmtId="9" fontId="4" fillId="4" borderId="0" xfId="2" applyNumberFormat="1" applyFont="1" applyFill="1" applyBorder="1" applyAlignment="1" applyProtection="1">
      <alignment horizontal="center"/>
    </xf>
    <xf numFmtId="9" fontId="4" fillId="4" borderId="0" xfId="2" applyFont="1" applyFill="1" applyBorder="1" applyAlignment="1" applyProtection="1">
      <alignment horizontal="center" vertical="center"/>
    </xf>
    <xf numFmtId="9" fontId="4" fillId="0" borderId="0" xfId="2" applyFont="1" applyProtection="1"/>
    <xf numFmtId="9" fontId="4" fillId="0" borderId="0" xfId="2" applyFont="1" applyFill="1" applyBorder="1" applyAlignment="1" applyProtection="1">
      <alignment horizontal="center"/>
    </xf>
    <xf numFmtId="0" fontId="4" fillId="0" borderId="0" xfId="0" applyFont="1" applyFill="1" applyProtection="1"/>
    <xf numFmtId="9" fontId="4" fillId="0" borderId="0" xfId="2" applyFont="1" applyFill="1" applyBorder="1" applyAlignment="1" applyProtection="1">
      <alignment horizontal="center" vertical="center"/>
    </xf>
    <xf numFmtId="0" fontId="4" fillId="0" borderId="0" xfId="0" applyFont="1" applyFill="1" applyAlignment="1" applyProtection="1">
      <alignment horizontal="center"/>
    </xf>
    <xf numFmtId="0" fontId="2" fillId="5" borderId="0" xfId="0" applyFont="1" applyFill="1" applyProtection="1"/>
    <xf numFmtId="0" fontId="4" fillId="5" borderId="0" xfId="0" applyFont="1" applyFill="1" applyProtection="1"/>
    <xf numFmtId="0" fontId="6" fillId="0" borderId="0" xfId="0" applyFont="1" applyProtection="1"/>
    <xf numFmtId="49" fontId="4" fillId="0" borderId="0" xfId="0" applyNumberFormat="1" applyFont="1" applyAlignment="1" applyProtection="1">
      <alignment horizontal="center"/>
    </xf>
    <xf numFmtId="0" fontId="4" fillId="0" borderId="0" xfId="0" applyFont="1" applyAlignment="1" applyProtection="1">
      <alignment horizontal="center"/>
    </xf>
    <xf numFmtId="0" fontId="4" fillId="0" borderId="0" xfId="0" applyFont="1" applyAlignment="1" applyProtection="1">
      <alignment horizontal="right"/>
    </xf>
    <xf numFmtId="0" fontId="6" fillId="0" borderId="5" xfId="0" applyFont="1" applyFill="1" applyBorder="1" applyProtection="1"/>
    <xf numFmtId="0" fontId="4" fillId="0" borderId="5" xfId="0" applyFont="1" applyFill="1" applyBorder="1" applyProtection="1"/>
    <xf numFmtId="0" fontId="6" fillId="0" borderId="0" xfId="0" applyFont="1" applyAlignment="1" applyProtection="1">
      <alignment horizontal="center" wrapText="1"/>
    </xf>
    <xf numFmtId="0" fontId="4" fillId="0" borderId="0" xfId="0" applyFont="1" applyAlignment="1" applyProtection="1">
      <alignment horizontal="center" vertical="center" wrapText="1"/>
    </xf>
    <xf numFmtId="0" fontId="4" fillId="0" borderId="0" xfId="0" applyFont="1" applyAlignment="1" applyProtection="1">
      <alignment horizontal="center" vertical="center"/>
    </xf>
    <xf numFmtId="164" fontId="4" fillId="0" borderId="0" xfId="1" applyFont="1" applyProtection="1"/>
    <xf numFmtId="164" fontId="4" fillId="0" borderId="0" xfId="1" applyFont="1" applyBorder="1" applyProtection="1"/>
    <xf numFmtId="2" fontId="4" fillId="7" borderId="0" xfId="0" applyNumberFormat="1" applyFont="1" applyFill="1" applyProtection="1"/>
    <xf numFmtId="164" fontId="6" fillId="0" borderId="0" xfId="1" applyNumberFormat="1" applyFont="1" applyProtection="1"/>
    <xf numFmtId="9" fontId="4" fillId="0" borderId="0" xfId="2" applyFont="1" applyFill="1" applyBorder="1" applyAlignment="1" applyProtection="1">
      <alignment horizontal="right" vertical="center"/>
    </xf>
    <xf numFmtId="164" fontId="6" fillId="9" borderId="0" xfId="1" applyFont="1" applyFill="1" applyBorder="1" applyAlignment="1" applyProtection="1">
      <alignment horizontal="right"/>
    </xf>
    <xf numFmtId="164" fontId="6" fillId="0" borderId="0" xfId="1" applyFont="1" applyFill="1" applyBorder="1" applyAlignment="1" applyProtection="1">
      <alignment horizontal="right"/>
    </xf>
    <xf numFmtId="9" fontId="6" fillId="4" borderId="0" xfId="2" applyFont="1" applyFill="1" applyBorder="1" applyAlignment="1" applyProtection="1">
      <alignment horizontal="center"/>
    </xf>
    <xf numFmtId="165" fontId="6" fillId="2" borderId="0" xfId="1" applyNumberFormat="1" applyFont="1" applyFill="1" applyBorder="1" applyAlignment="1" applyProtection="1">
      <alignment horizontal="right"/>
      <protection locked="0"/>
    </xf>
    <xf numFmtId="0" fontId="6" fillId="0" borderId="0" xfId="0" applyFont="1" applyAlignment="1" applyProtection="1">
      <alignment horizontal="right" vertical="center"/>
    </xf>
    <xf numFmtId="14" fontId="4" fillId="0" borderId="0" xfId="0" applyNumberFormat="1" applyFont="1" applyProtection="1"/>
    <xf numFmtId="0" fontId="6" fillId="0" borderId="0" xfId="0" applyFont="1" applyAlignment="1" applyProtection="1">
      <alignment horizontal="left"/>
    </xf>
    <xf numFmtId="9" fontId="4" fillId="7" borderId="0" xfId="0" applyNumberFormat="1" applyFont="1" applyFill="1" applyAlignment="1" applyProtection="1">
      <alignment horizontal="center"/>
    </xf>
    <xf numFmtId="164" fontId="6" fillId="4" borderId="0" xfId="1" applyFont="1" applyFill="1" applyProtection="1"/>
    <xf numFmtId="164" fontId="4" fillId="9" borderId="0" xfId="1" applyFont="1" applyFill="1" applyProtection="1"/>
    <xf numFmtId="164" fontId="6" fillId="9" borderId="0" xfId="1" applyFont="1" applyFill="1" applyProtection="1"/>
    <xf numFmtId="164" fontId="6" fillId="0" borderId="0" xfId="1" applyFont="1" applyFill="1" applyProtection="1"/>
    <xf numFmtId="0" fontId="2" fillId="5" borderId="1" xfId="0" applyFont="1" applyFill="1" applyBorder="1" applyAlignment="1">
      <alignment horizontal="center" vertical="center" wrapText="1"/>
    </xf>
    <xf numFmtId="0" fontId="4" fillId="3" borderId="0" xfId="0" applyFont="1" applyFill="1" applyProtection="1"/>
    <xf numFmtId="164" fontId="4" fillId="4" borderId="0" xfId="1" applyFont="1" applyFill="1" applyBorder="1" applyAlignment="1" applyProtection="1">
      <alignment horizontal="right"/>
    </xf>
    <xf numFmtId="0" fontId="4" fillId="0" borderId="0" xfId="0" applyFont="1" applyFill="1" applyAlignment="1" applyProtection="1">
      <alignment horizontal="right"/>
    </xf>
    <xf numFmtId="0" fontId="8" fillId="3" borderId="0" xfId="0" applyFont="1" applyFill="1" applyAlignment="1" applyProtection="1">
      <alignment horizontal="left" vertical="center" wrapText="1"/>
    </xf>
    <xf numFmtId="164" fontId="4" fillId="3" borderId="0" xfId="1" applyFont="1" applyFill="1" applyBorder="1" applyAlignment="1" applyProtection="1">
      <alignment horizontal="right"/>
    </xf>
    <xf numFmtId="2" fontId="4" fillId="3" borderId="0" xfId="0" applyNumberFormat="1" applyFont="1" applyFill="1" applyProtection="1"/>
    <xf numFmtId="167" fontId="4" fillId="3" borderId="0" xfId="0" applyNumberFormat="1" applyFont="1" applyFill="1" applyProtection="1"/>
    <xf numFmtId="164" fontId="6" fillId="3" borderId="0" xfId="1" applyFont="1" applyFill="1" applyProtection="1"/>
    <xf numFmtId="0" fontId="9" fillId="0" borderId="0" xfId="0" applyFont="1" applyProtection="1"/>
    <xf numFmtId="0" fontId="11" fillId="3" borderId="0" xfId="0" applyFont="1" applyFill="1" applyAlignment="1" applyProtection="1">
      <alignment vertical="top" wrapText="1"/>
    </xf>
    <xf numFmtId="49" fontId="7" fillId="10" borderId="0" xfId="0" applyNumberFormat="1" applyFont="1" applyFill="1" applyAlignment="1" applyProtection="1">
      <alignment horizontal="left"/>
    </xf>
    <xf numFmtId="0" fontId="4" fillId="10" borderId="0" xfId="0" applyFont="1" applyFill="1" applyAlignment="1" applyProtection="1">
      <alignment horizontal="center"/>
    </xf>
    <xf numFmtId="0" fontId="4" fillId="10" borderId="0" xfId="0" applyFont="1" applyFill="1" applyAlignment="1" applyProtection="1"/>
    <xf numFmtId="165" fontId="4" fillId="2" borderId="0" xfId="1" applyNumberFormat="1" applyFont="1" applyFill="1" applyBorder="1" applyAlignment="1" applyProtection="1">
      <alignment horizontal="right"/>
      <protection locked="0"/>
    </xf>
    <xf numFmtId="0" fontId="2" fillId="5" borderId="1" xfId="0" applyFont="1" applyFill="1" applyBorder="1" applyAlignment="1">
      <alignment horizontal="center" vertical="center" wrapText="1"/>
    </xf>
    <xf numFmtId="0" fontId="4" fillId="0" borderId="0" xfId="0" applyFont="1" applyFill="1" applyAlignment="1" applyProtection="1">
      <alignment horizontal="left" vertical="center" wrapText="1"/>
    </xf>
    <xf numFmtId="3" fontId="4" fillId="2" borderId="0" xfId="0" applyNumberFormat="1" applyFont="1" applyFill="1" applyBorder="1" applyAlignment="1" applyProtection="1">
      <alignment horizontal="center" vertical="center"/>
      <protection locked="0"/>
    </xf>
    <xf numFmtId="165" fontId="4" fillId="3" borderId="0" xfId="1" applyNumberFormat="1" applyFont="1" applyFill="1" applyBorder="1" applyAlignment="1" applyProtection="1">
      <alignment horizontal="right"/>
    </xf>
    <xf numFmtId="0" fontId="4" fillId="2" borderId="0" xfId="0" applyFont="1" applyFill="1" applyBorder="1" applyAlignment="1" applyProtection="1">
      <alignment horizontal="left"/>
      <protection locked="0"/>
    </xf>
    <xf numFmtId="0" fontId="4" fillId="2" borderId="0" xfId="0" applyFont="1" applyFill="1" applyBorder="1" applyAlignment="1" applyProtection="1">
      <alignment horizontal="left" vertical="center"/>
      <protection locked="0"/>
    </xf>
    <xf numFmtId="0" fontId="15" fillId="0" borderId="0" xfId="0" applyFont="1" applyProtection="1"/>
    <xf numFmtId="0" fontId="4" fillId="0" borderId="0" xfId="0" applyFont="1" applyProtection="1"/>
    <xf numFmtId="0" fontId="4" fillId="0" borderId="0" xfId="0" applyFont="1" applyAlignment="1" applyProtection="1">
      <alignment horizontal="left"/>
    </xf>
    <xf numFmtId="165" fontId="4" fillId="9" borderId="0" xfId="1" applyNumberFormat="1" applyFont="1" applyFill="1" applyBorder="1" applyAlignment="1" applyProtection="1">
      <alignment horizontal="right"/>
    </xf>
    <xf numFmtId="165" fontId="4" fillId="4" borderId="0" xfId="1" applyNumberFormat="1" applyFont="1" applyFill="1" applyBorder="1" applyAlignment="1" applyProtection="1"/>
    <xf numFmtId="169" fontId="4" fillId="3" borderId="1" xfId="1" applyNumberFormat="1" applyFont="1" applyFill="1" applyBorder="1" applyAlignment="1">
      <alignment horizontal="center"/>
    </xf>
    <xf numFmtId="169" fontId="13" fillId="3" borderId="7" xfId="1" applyNumberFormat="1" applyFont="1" applyFill="1" applyBorder="1" applyAlignment="1"/>
    <xf numFmtId="0" fontId="4" fillId="0" borderId="0" xfId="0" applyFont="1" applyProtection="1"/>
    <xf numFmtId="0" fontId="16" fillId="0" borderId="0" xfId="0" applyFont="1" applyProtection="1"/>
    <xf numFmtId="168" fontId="4" fillId="2" borderId="0" xfId="1" applyNumberFormat="1" applyFont="1" applyFill="1" applyBorder="1" applyAlignment="1" applyProtection="1">
      <alignment horizontal="right"/>
      <protection locked="0"/>
    </xf>
    <xf numFmtId="0" fontId="4" fillId="12" borderId="0" xfId="0" applyFont="1" applyFill="1" applyProtection="1"/>
    <xf numFmtId="2" fontId="4" fillId="12" borderId="0" xfId="0" applyNumberFormat="1" applyFont="1" applyFill="1" applyProtection="1"/>
    <xf numFmtId="167" fontId="4" fillId="12" borderId="0" xfId="0" applyNumberFormat="1" applyFont="1" applyFill="1" applyProtection="1"/>
    <xf numFmtId="9" fontId="4" fillId="4" borderId="0" xfId="2" applyFont="1" applyFill="1" applyBorder="1" applyAlignment="1" applyProtection="1">
      <alignment horizontal="center"/>
    </xf>
    <xf numFmtId="0" fontId="4" fillId="10" borderId="0" xfId="0" applyFont="1" applyFill="1" applyProtection="1"/>
    <xf numFmtId="165" fontId="4" fillId="11" borderId="0" xfId="1" applyNumberFormat="1" applyFont="1" applyFill="1" applyBorder="1" applyAlignment="1" applyProtection="1"/>
    <xf numFmtId="164" fontId="4" fillId="4" borderId="0" xfId="0" applyNumberFormat="1" applyFont="1" applyFill="1" applyProtection="1"/>
    <xf numFmtId="0" fontId="4" fillId="0" borderId="0" xfId="0" applyFont="1" applyProtection="1"/>
    <xf numFmtId="0" fontId="17" fillId="0" borderId="0" xfId="3" applyFont="1" applyProtection="1"/>
    <xf numFmtId="0" fontId="4" fillId="0" borderId="0" xfId="0" applyFont="1" applyProtection="1"/>
    <xf numFmtId="0" fontId="9" fillId="0" borderId="0" xfId="0" applyFont="1" applyAlignment="1" applyProtection="1">
      <alignment horizontal="left"/>
    </xf>
    <xf numFmtId="0" fontId="9" fillId="10" borderId="0" xfId="0" applyFont="1" applyFill="1" applyAlignment="1" applyProtection="1"/>
    <xf numFmtId="0" fontId="9" fillId="10" borderId="0" xfId="0" applyFont="1" applyFill="1" applyProtection="1"/>
    <xf numFmtId="0" fontId="4" fillId="10" borderId="0" xfId="0" applyFont="1" applyFill="1" applyAlignment="1" applyProtection="1">
      <alignment vertical="top" wrapText="1"/>
    </xf>
    <xf numFmtId="0" fontId="18" fillId="0" borderId="0" xfId="0" applyFont="1" applyAlignment="1" applyProtection="1">
      <alignment vertical="center"/>
    </xf>
    <xf numFmtId="0" fontId="0" fillId="0" borderId="8" xfId="0" applyBorder="1"/>
    <xf numFmtId="169" fontId="13" fillId="3" borderId="10" xfId="1" applyNumberFormat="1" applyFont="1" applyFill="1" applyBorder="1" applyAlignment="1"/>
    <xf numFmtId="169" fontId="13" fillId="3" borderId="9" xfId="1" applyNumberFormat="1" applyFont="1" applyFill="1" applyBorder="1" applyAlignment="1"/>
    <xf numFmtId="169" fontId="13" fillId="3" borderId="11" xfId="1" applyNumberFormat="1" applyFont="1" applyFill="1" applyBorder="1" applyAlignment="1"/>
    <xf numFmtId="0" fontId="8" fillId="8" borderId="0" xfId="0" applyFont="1" applyFill="1" applyAlignment="1" applyProtection="1">
      <alignment horizontal="left" vertical="center" wrapText="1"/>
    </xf>
    <xf numFmtId="0" fontId="4" fillId="0" borderId="0" xfId="0" applyFont="1" applyFill="1" applyAlignment="1" applyProtection="1">
      <alignment horizontal="left" vertical="center" wrapText="1"/>
    </xf>
    <xf numFmtId="3" fontId="4" fillId="2" borderId="0" xfId="0" applyNumberFormat="1" applyFont="1" applyFill="1" applyBorder="1" applyAlignment="1" applyProtection="1">
      <alignment horizontal="center" vertical="center"/>
      <protection locked="0"/>
    </xf>
    <xf numFmtId="0" fontId="7" fillId="0" borderId="0" xfId="0" applyFont="1" applyAlignment="1" applyProtection="1">
      <alignment horizontal="left"/>
    </xf>
    <xf numFmtId="0" fontId="8" fillId="0" borderId="0" xfId="0" applyFont="1" applyFill="1" applyAlignment="1" applyProtection="1">
      <alignment horizontal="center" vertical="center" wrapText="1"/>
    </xf>
    <xf numFmtId="0" fontId="4" fillId="2" borderId="0" xfId="0" applyFont="1" applyFill="1" applyBorder="1" applyAlignment="1" applyProtection="1">
      <alignment vertical="top"/>
      <protection locked="0"/>
    </xf>
    <xf numFmtId="0" fontId="10" fillId="3" borderId="0" xfId="0" applyFont="1" applyFill="1" applyAlignment="1" applyProtection="1">
      <alignment horizontal="left" vertical="top" wrapText="1"/>
    </xf>
    <xf numFmtId="0" fontId="4" fillId="0" borderId="0" xfId="0" applyFont="1" applyProtection="1"/>
    <xf numFmtId="0" fontId="4" fillId="0" borderId="0" xfId="0" applyFont="1" applyAlignment="1" applyProtection="1">
      <alignment horizontal="left"/>
    </xf>
    <xf numFmtId="0" fontId="4" fillId="0" borderId="0" xfId="0" applyFont="1" applyAlignment="1" applyProtection="1">
      <alignment horizontal="left" vertical="center" wrapText="1"/>
    </xf>
    <xf numFmtId="165" fontId="4" fillId="3" borderId="0" xfId="1" applyNumberFormat="1" applyFont="1" applyFill="1" applyBorder="1" applyAlignment="1" applyProtection="1">
      <alignment horizontal="right"/>
    </xf>
    <xf numFmtId="0" fontId="4" fillId="0" borderId="0" xfId="0" applyFont="1" applyFill="1" applyAlignment="1" applyProtection="1">
      <alignment horizontal="left" vertical="top" wrapText="1"/>
    </xf>
    <xf numFmtId="0" fontId="2" fillId="5" borderId="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cellXfs>
  <cellStyles count="4">
    <cellStyle name="Hyperlink" xfId="3" builtinId="8"/>
    <cellStyle name="Prozent" xfId="2" builtinId="5"/>
    <cellStyle name="Standard" xfId="0" builtinId="0"/>
    <cellStyle name="Währung" xfId="1" builtinId="4"/>
  </cellStyles>
  <dxfs count="71">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ill>
        <patternFill>
          <bgColor theme="5" tint="0.79998168889431442"/>
        </patternFill>
      </fill>
    </dxf>
    <dxf>
      <font>
        <color rgb="FFC00000"/>
      </font>
      <fill>
        <patternFill patternType="solid">
          <bgColor theme="0" tint="-4.9989318521683403E-2"/>
        </patternFill>
      </fill>
    </dxf>
    <dxf>
      <font>
        <color rgb="FFC00000"/>
      </font>
      <fill>
        <patternFill patternType="solid">
          <bgColor theme="0" tint="-4.9989318521683403E-2"/>
        </patternFill>
      </fill>
    </dxf>
    <dxf>
      <font>
        <b/>
        <i val="0"/>
        <color rgb="FFC00000"/>
      </font>
      <fill>
        <patternFill patternType="none">
          <bgColor auto="1"/>
        </patternFill>
      </fill>
    </dxf>
    <dxf>
      <font>
        <b/>
        <i val="0"/>
        <color rgb="FFC00000"/>
      </font>
      <fill>
        <patternFill patternType="none">
          <bgColor auto="1"/>
        </patternFill>
      </fill>
    </dxf>
    <dxf>
      <fill>
        <patternFill>
          <bgColor theme="9" tint="0.59996337778862885"/>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ill>
        <patternFill>
          <bgColor theme="5" tint="0.79998168889431442"/>
        </patternFill>
      </fill>
    </dxf>
    <dxf>
      <font>
        <color rgb="FFC00000"/>
      </font>
      <fill>
        <patternFill patternType="solid">
          <bgColor theme="0" tint="-4.9989318521683403E-2"/>
        </patternFill>
      </fill>
    </dxf>
    <dxf>
      <font>
        <color rgb="FFC00000"/>
      </font>
      <fill>
        <patternFill patternType="solid">
          <bgColor theme="0" tint="-4.9989318521683403E-2"/>
        </patternFill>
      </fill>
    </dxf>
    <dxf>
      <font>
        <b/>
        <i val="0"/>
        <color rgb="FFC00000"/>
      </font>
      <fill>
        <patternFill patternType="none">
          <bgColor auto="1"/>
        </patternFill>
      </fill>
    </dxf>
    <dxf>
      <font>
        <b/>
        <i val="0"/>
        <color rgb="FFC00000"/>
      </font>
      <fill>
        <patternFill patternType="none">
          <bgColor auto="1"/>
        </patternFill>
      </fill>
    </dxf>
    <dxf>
      <fill>
        <patternFill>
          <bgColor theme="9" tint="0.59996337778862885"/>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none">
          <bgColor auto="1"/>
        </patternFill>
      </fill>
    </dxf>
    <dxf>
      <fill>
        <patternFill>
          <bgColor theme="5" tint="0.79998168889431442"/>
        </patternFill>
      </fill>
    </dxf>
    <dxf>
      <font>
        <b/>
        <i val="0"/>
        <color rgb="FFC00000"/>
      </font>
      <fill>
        <patternFill patternType="none">
          <bgColor auto="1"/>
        </patternFill>
      </fill>
    </dxf>
    <dxf>
      <font>
        <b/>
        <i val="0"/>
        <color rgb="FFC00000"/>
      </font>
      <fill>
        <patternFill patternType="none">
          <bgColor auto="1"/>
        </patternFill>
      </fill>
    </dxf>
    <dxf>
      <font>
        <b/>
        <i val="0"/>
        <color rgb="FFC00000"/>
      </font>
      <fill>
        <patternFill patternType="none">
          <bgColor auto="1"/>
        </patternFill>
      </fill>
    </dxf>
    <dxf>
      <fill>
        <patternFill>
          <bgColor theme="5" tint="0.79998168889431442"/>
        </patternFill>
      </fill>
    </dxf>
    <dxf>
      <fill>
        <patternFill>
          <bgColor theme="5" tint="0.79998168889431442"/>
        </patternFill>
      </fill>
    </dxf>
    <dxf>
      <font>
        <color rgb="FFC00000"/>
      </font>
      <fill>
        <patternFill patternType="solid">
          <bgColor theme="0" tint="-4.9989318521683403E-2"/>
        </patternFill>
      </fill>
    </dxf>
    <dxf>
      <font>
        <color rgb="FFC00000"/>
      </font>
      <fill>
        <patternFill patternType="solid">
          <bgColor theme="0" tint="-4.9989318521683403E-2"/>
        </patternFill>
      </fill>
    </dxf>
    <dxf>
      <font>
        <b/>
        <i val="0"/>
        <color rgb="FFC00000"/>
      </font>
      <fill>
        <patternFill patternType="none">
          <bgColor auto="1"/>
        </patternFill>
      </fill>
    </dxf>
    <dxf>
      <font>
        <b/>
        <i val="0"/>
        <color rgb="FFC00000"/>
      </font>
      <fill>
        <patternFill patternType="none">
          <bgColor auto="1"/>
        </patternFill>
      </fill>
    </dxf>
    <dxf>
      <fill>
        <patternFill>
          <bgColor theme="9" tint="0.59996337778862885"/>
        </patternFill>
      </fill>
    </dxf>
    <dxf>
      <font>
        <color theme="5"/>
      </font>
    </dxf>
    <dxf>
      <font>
        <b/>
        <i val="0"/>
        <color rgb="FFC00000"/>
      </font>
      <fill>
        <patternFill patternType="none">
          <bgColor auto="1"/>
        </patternFill>
      </fill>
    </dxf>
  </dxfs>
  <tableStyles count="0" defaultTableStyle="TableStyleMedium2" defaultPivotStyle="PivotStyleLight16"/>
  <colors>
    <mruColors>
      <color rgb="FF313C98"/>
      <color rgb="FFBAE8FC"/>
      <color rgb="FF0BA2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250031</xdr:colOff>
      <xdr:row>0</xdr:row>
      <xdr:rowOff>154781</xdr:rowOff>
    </xdr:from>
    <xdr:to>
      <xdr:col>0</xdr:col>
      <xdr:colOff>869156</xdr:colOff>
      <xdr:row>0</xdr:row>
      <xdr:rowOff>850106</xdr:rowOff>
    </xdr:to>
    <xdr:pic>
      <xdr:nvPicPr>
        <xdr:cNvPr id="3" name="il_fi" descr="http://upload.wikimedia.org/wikipedia/commons/b/b3/Killwangen-blason.png"/>
        <xdr:cNvPicPr/>
      </xdr:nvPicPr>
      <xdr:blipFill>
        <a:blip xmlns:r="http://schemas.openxmlformats.org/officeDocument/2006/relationships" r:embed="rId1"/>
        <a:srcRect/>
        <a:stretch>
          <a:fillRect/>
        </a:stretch>
      </xdr:blipFill>
      <xdr:spPr bwMode="auto">
        <a:xfrm>
          <a:off x="250031" y="154781"/>
          <a:ext cx="619125" cy="695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164523</xdr:colOff>
      <xdr:row>0</xdr:row>
      <xdr:rowOff>69273</xdr:rowOff>
    </xdr:from>
    <xdr:to>
      <xdr:col>0</xdr:col>
      <xdr:colOff>783648</xdr:colOff>
      <xdr:row>0</xdr:row>
      <xdr:rowOff>764598</xdr:rowOff>
    </xdr:to>
    <xdr:pic>
      <xdr:nvPicPr>
        <xdr:cNvPr id="2" name="il_fi" descr="http://upload.wikimedia.org/wikipedia/commons/b/b3/Killwangen-blason.png"/>
        <xdr:cNvPicPr/>
      </xdr:nvPicPr>
      <xdr:blipFill>
        <a:blip xmlns:r="http://schemas.openxmlformats.org/officeDocument/2006/relationships" r:embed="rId1"/>
        <a:srcRect/>
        <a:stretch>
          <a:fillRect/>
        </a:stretch>
      </xdr:blipFill>
      <xdr:spPr bwMode="auto">
        <a:xfrm>
          <a:off x="164523" y="69273"/>
          <a:ext cx="619125" cy="6953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137583</xdr:colOff>
      <xdr:row>0</xdr:row>
      <xdr:rowOff>74083</xdr:rowOff>
    </xdr:from>
    <xdr:to>
      <xdr:col>0</xdr:col>
      <xdr:colOff>756708</xdr:colOff>
      <xdr:row>0</xdr:row>
      <xdr:rowOff>769408</xdr:rowOff>
    </xdr:to>
    <xdr:pic>
      <xdr:nvPicPr>
        <xdr:cNvPr id="2" name="il_fi" descr="http://upload.wikimedia.org/wikipedia/commons/b/b3/Killwangen-blason.png"/>
        <xdr:cNvPicPr/>
      </xdr:nvPicPr>
      <xdr:blipFill>
        <a:blip xmlns:r="http://schemas.openxmlformats.org/officeDocument/2006/relationships" r:embed="rId1"/>
        <a:srcRect/>
        <a:stretch>
          <a:fillRect/>
        </a:stretch>
      </xdr:blipFill>
      <xdr:spPr bwMode="auto">
        <a:xfrm>
          <a:off x="137583" y="74083"/>
          <a:ext cx="619125" cy="6953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va-ag.ch/private/finanzielle-unterstutzung/pramienverbilligung/anmeldung" TargetMode="External"/><Relationship Id="rId1" Type="http://schemas.openxmlformats.org/officeDocument/2006/relationships/hyperlink" Target="https://www.sva-ag.ch/private/finanzielle-unterstutzung/pramienverbilligung/anmeldung"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Q157"/>
  <sheetViews>
    <sheetView showGridLines="0" tabSelected="1" topLeftCell="A10" zoomScale="80" zoomScaleNormal="80" zoomScaleSheetLayoutView="83" zoomScalePageLayoutView="90" workbookViewId="0">
      <selection activeCell="C30" sqref="C30"/>
    </sheetView>
  </sheetViews>
  <sheetFormatPr baseColWidth="10" defaultColWidth="0" defaultRowHeight="17.25" zeroHeight="1" x14ac:dyDescent="0.35"/>
  <cols>
    <col min="1" max="1" width="35.5703125" style="70" customWidth="1"/>
    <col min="2" max="2" width="23.5703125" style="70" customWidth="1"/>
    <col min="3" max="3" width="3.5703125" style="70" customWidth="1"/>
    <col min="4" max="4" width="23.5703125" style="70" customWidth="1"/>
    <col min="5" max="5" width="3.5703125" style="70" customWidth="1"/>
    <col min="6" max="6" width="23.5703125" style="70" customWidth="1"/>
    <col min="7" max="7" width="3.5703125" style="70" customWidth="1"/>
    <col min="8" max="8" width="23.5703125" style="70" customWidth="1"/>
    <col min="9" max="9" width="3.5703125" style="70" customWidth="1"/>
    <col min="10" max="10" width="23.5703125" style="70" customWidth="1"/>
    <col min="11" max="11" width="0" style="61" hidden="1" customWidth="1"/>
    <col min="12" max="17" width="0" style="83" hidden="1" customWidth="1"/>
    <col min="18" max="16384" width="10.85546875" style="83" hidden="1"/>
  </cols>
  <sheetData>
    <row r="1" spans="1:12" ht="72.75" customHeight="1" x14ac:dyDescent="0.35">
      <c r="A1" s="93"/>
      <c r="B1" s="86"/>
      <c r="C1" s="86"/>
      <c r="D1" s="86"/>
      <c r="E1" s="86"/>
      <c r="F1" s="86"/>
      <c r="G1" s="86"/>
      <c r="H1" s="86"/>
      <c r="I1" s="86"/>
      <c r="J1" s="86"/>
    </row>
    <row r="2" spans="1:12" ht="21.75" x14ac:dyDescent="0.45">
      <c r="A2" s="57" t="s">
        <v>96</v>
      </c>
      <c r="B2" s="40"/>
      <c r="H2" s="41"/>
      <c r="I2" s="25" t="s">
        <v>20</v>
      </c>
      <c r="J2" s="41">
        <f ca="1">TODAY()</f>
        <v>43210</v>
      </c>
    </row>
    <row r="3" spans="1:12" s="91" customFormat="1" ht="20.100000000000001" customHeight="1" x14ac:dyDescent="0.45">
      <c r="A3" s="57" t="s">
        <v>94</v>
      </c>
      <c r="B3" s="89"/>
      <c r="C3" s="57"/>
      <c r="D3" s="57"/>
      <c r="E3" s="57"/>
      <c r="F3" s="57"/>
      <c r="G3" s="57"/>
      <c r="H3" s="57"/>
      <c r="I3" s="57"/>
      <c r="J3" s="57"/>
      <c r="K3" s="90"/>
    </row>
    <row r="4" spans="1:12" s="91" customFormat="1" ht="9" customHeight="1" x14ac:dyDescent="0.45">
      <c r="A4" s="57"/>
      <c r="B4" s="89"/>
      <c r="C4" s="57"/>
      <c r="D4" s="57"/>
      <c r="E4" s="57"/>
      <c r="F4" s="57"/>
      <c r="G4" s="57"/>
      <c r="H4" s="57"/>
      <c r="I4" s="57"/>
      <c r="J4" s="57"/>
      <c r="K4" s="90"/>
    </row>
    <row r="5" spans="1:12" ht="36" customHeight="1" x14ac:dyDescent="0.35">
      <c r="A5" s="109" t="s">
        <v>95</v>
      </c>
      <c r="B5" s="109"/>
      <c r="C5" s="109"/>
      <c r="D5" s="109"/>
      <c r="E5" s="109"/>
      <c r="F5" s="109"/>
      <c r="G5" s="109"/>
      <c r="H5" s="109"/>
      <c r="I5" s="109"/>
      <c r="J5" s="109"/>
      <c r="K5" s="109"/>
      <c r="L5" s="92"/>
    </row>
    <row r="6" spans="1:12" ht="9" customHeight="1" x14ac:dyDescent="0.35">
      <c r="A6" s="86"/>
      <c r="B6" s="42"/>
      <c r="C6" s="86"/>
      <c r="D6" s="86"/>
      <c r="E6" s="86"/>
      <c r="F6" s="86"/>
      <c r="G6" s="86"/>
      <c r="H6" s="86"/>
      <c r="I6" s="86"/>
      <c r="J6" s="86"/>
    </row>
    <row r="7" spans="1:12" ht="17.25" customHeight="1" x14ac:dyDescent="0.35">
      <c r="A7" s="20" t="s">
        <v>10</v>
      </c>
      <c r="B7" s="20"/>
      <c r="C7" s="21"/>
      <c r="D7" s="21"/>
      <c r="E7" s="21"/>
      <c r="F7" s="21"/>
      <c r="G7" s="21"/>
      <c r="H7" s="21"/>
      <c r="I7" s="21"/>
      <c r="J7" s="21"/>
    </row>
    <row r="8" spans="1:12" ht="9.9499999999999993" customHeight="1" x14ac:dyDescent="0.35"/>
    <row r="9" spans="1:12" ht="20.100000000000001" customHeight="1" x14ac:dyDescent="0.35">
      <c r="B9" s="24" t="s">
        <v>33</v>
      </c>
      <c r="C9" s="24"/>
      <c r="D9" s="24" t="s">
        <v>36</v>
      </c>
      <c r="F9" s="24" t="s">
        <v>11</v>
      </c>
      <c r="H9" s="70" t="s">
        <v>18</v>
      </c>
    </row>
    <row r="10" spans="1:12" ht="9.9499999999999993" customHeight="1" x14ac:dyDescent="0.35"/>
    <row r="11" spans="1:12" ht="20.100000000000001" customHeight="1" x14ac:dyDescent="0.35">
      <c r="A11" s="70" t="s">
        <v>31</v>
      </c>
      <c r="B11" s="11"/>
      <c r="C11" s="15"/>
      <c r="D11" s="16"/>
      <c r="F11" s="13">
        <f>B11</f>
        <v>0</v>
      </c>
      <c r="H11" s="38">
        <f>F11</f>
        <v>0</v>
      </c>
      <c r="I11" s="17"/>
    </row>
    <row r="12" spans="1:12" ht="6.95" customHeight="1" x14ac:dyDescent="0.35">
      <c r="A12" s="99" t="s">
        <v>32</v>
      </c>
      <c r="B12" s="18"/>
      <c r="C12" s="17"/>
      <c r="D12" s="18"/>
      <c r="E12" s="17"/>
      <c r="F12" s="18"/>
      <c r="G12" s="17"/>
      <c r="H12" s="19"/>
      <c r="I12" s="17"/>
      <c r="J12" s="102" t="str">
        <f>IF(OR(F13&gt;=119%,F13=0%),"","zu niedriges Pensum kein Anspruch")</f>
        <v/>
      </c>
    </row>
    <row r="13" spans="1:12" ht="20.100000000000001" customHeight="1" x14ac:dyDescent="0.35">
      <c r="A13" s="99"/>
      <c r="B13" s="12"/>
      <c r="C13" s="17"/>
      <c r="D13" s="12"/>
      <c r="E13" s="17"/>
      <c r="F13" s="14">
        <f>B13+D13</f>
        <v>0</v>
      </c>
      <c r="G13" s="17"/>
      <c r="H13" s="38">
        <f>IF(F13=0%,0,F13-100%)</f>
        <v>0</v>
      </c>
      <c r="I13" s="17"/>
      <c r="J13" s="102"/>
    </row>
    <row r="14" spans="1:12" ht="6.95" customHeight="1" x14ac:dyDescent="0.35">
      <c r="A14" s="99"/>
      <c r="B14" s="35"/>
      <c r="C14" s="17"/>
      <c r="D14" s="35"/>
      <c r="E14" s="17"/>
      <c r="G14" s="17"/>
      <c r="H14" s="17"/>
      <c r="I14" s="17"/>
      <c r="J14" s="102"/>
    </row>
    <row r="15" spans="1:12" ht="20.100000000000001" hidden="1" customHeight="1" x14ac:dyDescent="0.35">
      <c r="A15" s="64"/>
      <c r="B15" s="35"/>
      <c r="C15" s="17"/>
      <c r="D15" s="35"/>
      <c r="E15" s="17"/>
      <c r="G15" s="17"/>
      <c r="H15" s="43">
        <f>H11+H13</f>
        <v>0</v>
      </c>
      <c r="I15" s="17"/>
      <c r="J15" s="17"/>
    </row>
    <row r="16" spans="1:12" ht="9.9499999999999993" hidden="1" customHeight="1" x14ac:dyDescent="0.35">
      <c r="D16" s="15"/>
    </row>
    <row r="17" spans="1:10" ht="17.25" customHeight="1" x14ac:dyDescent="0.35">
      <c r="A17" s="20" t="s">
        <v>0</v>
      </c>
      <c r="B17" s="20"/>
      <c r="C17" s="21"/>
      <c r="D17" s="21"/>
      <c r="E17" s="21"/>
      <c r="F17" s="21"/>
      <c r="G17" s="21"/>
      <c r="H17" s="21"/>
      <c r="I17" s="21"/>
      <c r="J17" s="21"/>
    </row>
    <row r="18" spans="1:10" s="70" customFormat="1" ht="9.9499999999999993" customHeight="1" x14ac:dyDescent="0.35"/>
    <row r="19" spans="1:10" s="70" customFormat="1" ht="20.25" customHeight="1" x14ac:dyDescent="0.35">
      <c r="A19" s="70" t="s">
        <v>54</v>
      </c>
      <c r="F19" s="68" t="s">
        <v>26</v>
      </c>
      <c r="G19" s="69"/>
      <c r="H19" s="105" t="str">
        <f>IF(F19="Nein","Gehen Sie zur individuellen Berechnung","")</f>
        <v/>
      </c>
      <c r="I19" s="105"/>
      <c r="J19" s="105"/>
    </row>
    <row r="20" spans="1:10" s="70" customFormat="1" ht="9" customHeight="1" x14ac:dyDescent="0.35"/>
    <row r="21" spans="1:10" s="70" customFormat="1" ht="20.25" customHeight="1" x14ac:dyDescent="0.35">
      <c r="A21" s="70" t="s">
        <v>55</v>
      </c>
      <c r="F21" s="68" t="s">
        <v>91</v>
      </c>
      <c r="G21" s="69"/>
      <c r="H21" s="106" t="str">
        <f>IF(F21="Ja","Gehen Sie zur individuellen Berechnung","")</f>
        <v/>
      </c>
      <c r="I21" s="106"/>
      <c r="J21" s="106"/>
    </row>
    <row r="22" spans="1:10" s="70" customFormat="1" ht="9.75" customHeight="1" x14ac:dyDescent="0.35"/>
    <row r="23" spans="1:10" s="70" customFormat="1" ht="20.25" customHeight="1" x14ac:dyDescent="0.35">
      <c r="A23" s="70" t="s">
        <v>56</v>
      </c>
      <c r="F23" s="62">
        <v>0</v>
      </c>
    </row>
    <row r="24" spans="1:10" s="70" customFormat="1" ht="20.25" hidden="1" customHeight="1" x14ac:dyDescent="0.35">
      <c r="A24" s="70" t="s">
        <v>57</v>
      </c>
      <c r="F24" s="72">
        <f>F23*0.75</f>
        <v>0</v>
      </c>
    </row>
    <row r="25" spans="1:10" s="70" customFormat="1" ht="20.25" hidden="1" customHeight="1" x14ac:dyDescent="0.35">
      <c r="A25" s="70" t="s">
        <v>58</v>
      </c>
      <c r="F25" s="72">
        <f>F23*1.25</f>
        <v>0</v>
      </c>
    </row>
    <row r="26" spans="1:10" s="70" customFormat="1" ht="9.75" customHeight="1" x14ac:dyDescent="0.35">
      <c r="A26" s="107" t="s">
        <v>59</v>
      </c>
      <c r="B26" s="107"/>
      <c r="C26" s="107"/>
      <c r="D26" s="107"/>
      <c r="E26" s="107"/>
    </row>
    <row r="27" spans="1:10" s="70" customFormat="1" ht="20.25" customHeight="1" x14ac:dyDescent="0.35">
      <c r="A27" s="107"/>
      <c r="B27" s="107"/>
      <c r="C27" s="107"/>
      <c r="D27" s="107"/>
      <c r="E27" s="107"/>
      <c r="F27" s="68" t="s">
        <v>9</v>
      </c>
      <c r="G27" s="69"/>
      <c r="H27" s="106" t="str">
        <f>IF(F27="Ja oder weiss nicht","Gehen Sie zur individuellen Berechnung","")</f>
        <v/>
      </c>
      <c r="I27" s="106"/>
      <c r="J27" s="106"/>
    </row>
    <row r="28" spans="1:10" s="70" customFormat="1" ht="9.75" customHeight="1" x14ac:dyDescent="0.35">
      <c r="A28" s="107"/>
      <c r="B28" s="107"/>
      <c r="C28" s="107"/>
      <c r="D28" s="107"/>
      <c r="E28" s="107"/>
    </row>
    <row r="29" spans="1:10" s="70" customFormat="1" ht="20.25" customHeight="1" x14ac:dyDescent="0.35"/>
    <row r="30" spans="1:10" s="22" customFormat="1" ht="20.25" customHeight="1" x14ac:dyDescent="0.35">
      <c r="A30" s="22" t="s">
        <v>60</v>
      </c>
    </row>
    <row r="31" spans="1:10" s="70" customFormat="1" ht="9.9499999999999993" customHeight="1" x14ac:dyDescent="0.35"/>
    <row r="32" spans="1:10" s="70" customFormat="1" x14ac:dyDescent="0.35">
      <c r="A32" s="70" t="s">
        <v>61</v>
      </c>
      <c r="F32" s="62"/>
    </row>
    <row r="33" spans="1:10" s="70" customFormat="1" ht="9.9499999999999993" customHeight="1" x14ac:dyDescent="0.35"/>
    <row r="34" spans="1:10" s="70" customFormat="1" ht="17.25" customHeight="1" x14ac:dyDescent="0.35">
      <c r="A34" s="17" t="s">
        <v>62</v>
      </c>
      <c r="F34" s="62">
        <v>0</v>
      </c>
    </row>
    <row r="35" spans="1:10" s="70" customFormat="1" ht="9.9499999999999993" customHeight="1" x14ac:dyDescent="0.35">
      <c r="A35" s="17"/>
    </row>
    <row r="36" spans="1:10" s="70" customFormat="1" x14ac:dyDescent="0.35">
      <c r="A36" s="70" t="s">
        <v>63</v>
      </c>
      <c r="F36" s="62">
        <v>0</v>
      </c>
    </row>
    <row r="37" spans="1:10" s="70" customFormat="1" ht="9.9499999999999993" customHeight="1" x14ac:dyDescent="0.35"/>
    <row r="38" spans="1:10" s="70" customFormat="1" x14ac:dyDescent="0.35">
      <c r="A38" s="70" t="s">
        <v>64</v>
      </c>
      <c r="F38" s="62">
        <v>0</v>
      </c>
    </row>
    <row r="39" spans="1:10" s="70" customFormat="1" ht="9.9499999999999993" customHeight="1" x14ac:dyDescent="0.35"/>
    <row r="40" spans="1:10" s="70" customFormat="1" x14ac:dyDescent="0.35">
      <c r="A40" s="70" t="s">
        <v>65</v>
      </c>
      <c r="F40" s="62">
        <v>0</v>
      </c>
    </row>
    <row r="41" spans="1:10" s="70" customFormat="1" ht="9.9499999999999993" customHeight="1" x14ac:dyDescent="0.35"/>
    <row r="42" spans="1:10" s="70" customFormat="1" x14ac:dyDescent="0.35">
      <c r="A42" s="70" t="s">
        <v>66</v>
      </c>
      <c r="F42" s="62">
        <v>0</v>
      </c>
    </row>
    <row r="43" spans="1:10" s="70" customFormat="1" ht="9.9499999999999993" customHeight="1" x14ac:dyDescent="0.35"/>
    <row r="44" spans="1:10" s="70" customFormat="1" x14ac:dyDescent="0.35">
      <c r="A44" s="17" t="s">
        <v>67</v>
      </c>
      <c r="D44" s="62">
        <v>0</v>
      </c>
      <c r="F44" s="73">
        <f>D44/5</f>
        <v>0</v>
      </c>
      <c r="H44" s="76"/>
      <c r="I44" s="76"/>
      <c r="J44" s="76"/>
    </row>
    <row r="45" spans="1:10" s="70" customFormat="1" ht="9.9499999999999993" customHeight="1" x14ac:dyDescent="0.35">
      <c r="A45" s="17"/>
      <c r="H45" s="76"/>
      <c r="I45" s="76"/>
      <c r="J45" s="76"/>
    </row>
    <row r="46" spans="1:10" s="70" customFormat="1" x14ac:dyDescent="0.35">
      <c r="A46" s="70" t="s">
        <v>68</v>
      </c>
      <c r="D46" s="62">
        <v>0</v>
      </c>
      <c r="H46" s="87" t="s">
        <v>69</v>
      </c>
      <c r="I46" s="76"/>
      <c r="J46" s="76"/>
    </row>
    <row r="47" spans="1:10" s="70" customFormat="1" hidden="1" x14ac:dyDescent="0.35">
      <c r="D47" s="84">
        <v>0</v>
      </c>
      <c r="H47" s="87"/>
      <c r="I47" s="76"/>
      <c r="J47" s="76"/>
    </row>
    <row r="48" spans="1:10" s="70" customFormat="1" ht="9.9499999999999993" customHeight="1" x14ac:dyDescent="0.35">
      <c r="H48" s="76"/>
      <c r="I48" s="76"/>
      <c r="J48" s="76"/>
    </row>
    <row r="49" spans="1:12" s="70" customFormat="1" x14ac:dyDescent="0.35">
      <c r="A49" s="70" t="s">
        <v>70</v>
      </c>
      <c r="D49" s="62">
        <v>0</v>
      </c>
      <c r="F49" s="8">
        <f>D47-D46-D49</f>
        <v>0</v>
      </c>
      <c r="H49" s="87" t="s">
        <v>69</v>
      </c>
      <c r="I49" s="76"/>
      <c r="J49" s="76"/>
    </row>
    <row r="50" spans="1:12" s="70" customFormat="1" ht="9.9499999999999993" customHeight="1" x14ac:dyDescent="0.35"/>
    <row r="51" spans="1:12" s="70" customFormat="1" x14ac:dyDescent="0.35">
      <c r="A51" s="70" t="s">
        <v>71</v>
      </c>
      <c r="F51" s="8">
        <f>F32+F44+F34+F36+F38+F40+F42+F49</f>
        <v>0</v>
      </c>
      <c r="G51" s="49"/>
      <c r="H51" s="49"/>
      <c r="I51" s="108"/>
      <c r="J51" s="108"/>
    </row>
    <row r="52" spans="1:12" s="70" customFormat="1" ht="9.9499999999999993" customHeight="1" x14ac:dyDescent="0.35"/>
    <row r="53" spans="1:12" s="70" customFormat="1" ht="9.9499999999999993" customHeight="1" x14ac:dyDescent="0.35">
      <c r="B53" s="22"/>
    </row>
    <row r="54" spans="1:12" s="70" customFormat="1" x14ac:dyDescent="0.35">
      <c r="A54" s="22" t="s">
        <v>72</v>
      </c>
      <c r="F54" s="6">
        <f>IF(F27="Nein",F23,IF(F21="Ja",F51,F55))</f>
        <v>0</v>
      </c>
      <c r="G54" s="49"/>
      <c r="H54" s="49"/>
      <c r="I54" s="108"/>
      <c r="J54" s="108"/>
    </row>
    <row r="55" spans="1:12" s="70" customFormat="1" hidden="1" x14ac:dyDescent="0.35">
      <c r="A55" s="70" t="s">
        <v>73</v>
      </c>
      <c r="F55" s="72">
        <f>IF(F51&lt;F24,F51,IF(F51&gt;F25,F51,F23))</f>
        <v>0</v>
      </c>
      <c r="G55" s="49"/>
      <c r="H55" s="49"/>
      <c r="I55" s="66"/>
      <c r="J55" s="66"/>
    </row>
    <row r="56" spans="1:12" s="70" customFormat="1" ht="9.9499999999999993" customHeight="1" x14ac:dyDescent="0.35">
      <c r="B56" s="22"/>
    </row>
    <row r="57" spans="1:12" ht="0.95" customHeight="1" x14ac:dyDescent="0.35">
      <c r="D57" s="15"/>
    </row>
    <row r="58" spans="1:12" x14ac:dyDescent="0.35">
      <c r="A58" s="20" t="s">
        <v>47</v>
      </c>
      <c r="B58" s="20"/>
      <c r="C58" s="21"/>
      <c r="D58" s="21"/>
      <c r="E58" s="21"/>
      <c r="F58" s="21"/>
      <c r="G58" s="21"/>
      <c r="H58" s="21"/>
      <c r="I58" s="21"/>
      <c r="J58" s="21"/>
    </row>
    <row r="59" spans="1:12" ht="9.9499999999999993" customHeight="1" x14ac:dyDescent="0.35">
      <c r="B59" s="23"/>
      <c r="F59" s="23"/>
      <c r="H59" s="23"/>
    </row>
    <row r="60" spans="1:12" ht="20.100000000000001" customHeight="1" x14ac:dyDescent="0.35">
      <c r="A60" s="70" t="s">
        <v>74</v>
      </c>
      <c r="D60" s="39"/>
      <c r="F60" s="70" t="s">
        <v>23</v>
      </c>
      <c r="I60" s="100" t="s">
        <v>9</v>
      </c>
      <c r="J60" s="100"/>
    </row>
    <row r="61" spans="1:12" ht="9.9499999999999993" customHeight="1" x14ac:dyDescent="0.35">
      <c r="B61" s="23"/>
      <c r="F61" s="23"/>
      <c r="H61" s="23"/>
    </row>
    <row r="62" spans="1:12" ht="20.100000000000001" customHeight="1" x14ac:dyDescent="0.35">
      <c r="A62" s="70" t="s">
        <v>15</v>
      </c>
      <c r="D62" s="65" t="s">
        <v>9</v>
      </c>
      <c r="F62" s="101" t="str">
        <f>IF(I60="Ja","Hinweis: Wenn quellenbesteuert, massgebendes Einkommen kontrollieren/anpassen.","")</f>
        <v/>
      </c>
      <c r="G62" s="101"/>
      <c r="H62" s="101"/>
      <c r="I62" s="101"/>
      <c r="J62" s="101"/>
      <c r="L62" s="59"/>
    </row>
    <row r="63" spans="1:12" ht="9.9499999999999993" customHeight="1" x14ac:dyDescent="0.35">
      <c r="B63" s="23"/>
      <c r="D63" s="24"/>
      <c r="F63" s="23"/>
      <c r="H63" s="23"/>
    </row>
    <row r="64" spans="1:12" ht="20.100000000000001" customHeight="1" x14ac:dyDescent="0.35">
      <c r="A64" s="70" t="s">
        <v>48</v>
      </c>
      <c r="D64" s="65" t="s">
        <v>9</v>
      </c>
      <c r="F64" s="25" t="s">
        <v>30</v>
      </c>
      <c r="H64" s="39"/>
    </row>
    <row r="65" spans="1:17" x14ac:dyDescent="0.35">
      <c r="D65" s="15"/>
    </row>
    <row r="66" spans="1:17" ht="0.95" customHeight="1" x14ac:dyDescent="0.35"/>
    <row r="67" spans="1:17" x14ac:dyDescent="0.35">
      <c r="A67" s="20" t="s">
        <v>39</v>
      </c>
      <c r="B67" s="20"/>
      <c r="C67" s="21"/>
      <c r="D67" s="21"/>
      <c r="E67" s="21"/>
      <c r="F67" s="21"/>
      <c r="G67" s="21"/>
      <c r="H67" s="21"/>
      <c r="I67" s="21"/>
      <c r="J67" s="21"/>
    </row>
    <row r="68" spans="1:17" ht="9.9499999999999993" customHeight="1" x14ac:dyDescent="0.35"/>
    <row r="69" spans="1:17" ht="20.100000000000001" customHeight="1" x14ac:dyDescent="0.35">
      <c r="A69" s="70" t="s">
        <v>13</v>
      </c>
      <c r="B69" s="67"/>
      <c r="D69" s="70" t="s">
        <v>17</v>
      </c>
      <c r="F69" s="103"/>
      <c r="G69" s="103"/>
      <c r="H69" s="103"/>
      <c r="I69" s="103"/>
      <c r="J69" s="103"/>
    </row>
    <row r="70" spans="1:17" ht="9.9499999999999993" customHeight="1" x14ac:dyDescent="0.35"/>
    <row r="71" spans="1:17" ht="20.100000000000001" customHeight="1" x14ac:dyDescent="0.35">
      <c r="A71" s="70" t="s">
        <v>14</v>
      </c>
      <c r="B71" s="5"/>
      <c r="D71" s="70" t="s">
        <v>21</v>
      </c>
      <c r="F71" s="5"/>
    </row>
    <row r="72" spans="1:17" ht="9.9499999999999993" customHeight="1" x14ac:dyDescent="0.35"/>
    <row r="73" spans="1:17" ht="0.95" customHeight="1" x14ac:dyDescent="0.35">
      <c r="A73" s="28"/>
      <c r="B73" s="28"/>
      <c r="C73" s="28"/>
      <c r="D73" s="28"/>
    </row>
    <row r="74" spans="1:17" x14ac:dyDescent="0.35">
      <c r="A74" s="20" t="s">
        <v>25</v>
      </c>
      <c r="B74" s="20"/>
      <c r="C74" s="21"/>
      <c r="D74" s="21"/>
      <c r="E74" s="21"/>
      <c r="F74" s="21"/>
      <c r="G74" s="21"/>
      <c r="H74" s="21"/>
      <c r="I74" s="21"/>
      <c r="J74" s="21"/>
    </row>
    <row r="75" spans="1:17" ht="9.9499999999999993" customHeight="1" x14ac:dyDescent="0.35"/>
    <row r="76" spans="1:17" ht="18" thickBot="1" x14ac:dyDescent="0.4">
      <c r="A76" s="26" t="s">
        <v>2</v>
      </c>
      <c r="B76" s="27"/>
      <c r="C76" s="27"/>
      <c r="D76" s="27"/>
      <c r="E76" s="27"/>
      <c r="F76" s="27"/>
      <c r="G76" s="27"/>
      <c r="H76" s="27"/>
      <c r="I76" s="27"/>
      <c r="J76" s="27"/>
    </row>
    <row r="77" spans="1:17" ht="9.9499999999999993" customHeight="1" x14ac:dyDescent="0.35">
      <c r="A77" s="22"/>
      <c r="Q77" s="83" t="s">
        <v>12</v>
      </c>
    </row>
    <row r="78" spans="1:17" ht="34.5" x14ac:dyDescent="0.35">
      <c r="B78" s="29" t="s">
        <v>34</v>
      </c>
      <c r="C78" s="30"/>
      <c r="D78" s="29" t="s">
        <v>29</v>
      </c>
      <c r="E78" s="30"/>
      <c r="F78" s="29" t="s">
        <v>52</v>
      </c>
      <c r="H78" s="29" t="s">
        <v>1</v>
      </c>
      <c r="J78" s="29" t="s">
        <v>51</v>
      </c>
    </row>
    <row r="79" spans="1:17" ht="17.25" customHeight="1" x14ac:dyDescent="0.35">
      <c r="A79" s="70" t="s">
        <v>27</v>
      </c>
      <c r="B79" s="2"/>
      <c r="D79" s="3"/>
      <c r="F79" s="44" t="str">
        <f>IF(B81&lt;0,0,B81)</f>
        <v/>
      </c>
      <c r="G79" s="31"/>
      <c r="H79" s="4" t="str">
        <f>IF(ISBLANK(D79),"",IF(B79-F81&lt;'Tabelle Betreuungsgutscheine'!D18,'Tabelle Betreuungsgutscheine'!D18,B79-F81))</f>
        <v/>
      </c>
      <c r="I79" s="32"/>
      <c r="J79" s="10" t="str">
        <f>IF(ISBLANK(D79),"",ROUND(J81/5,2)*5)</f>
        <v/>
      </c>
    </row>
    <row r="80" spans="1:17" ht="17.25" customHeight="1" x14ac:dyDescent="0.35">
      <c r="D80" s="15"/>
      <c r="J80" s="25" t="str">
        <f>IF(D79/5*100%&gt;$H$15,"Hinweis: Das maximal unterstützte Pensum liegt bei "&amp;($H$15*100)&amp;"%. Die Kitabetreuung wird an maximal "&amp;($H$15*5)&amp;" Wochentag/en unterstützt.","")</f>
        <v/>
      </c>
    </row>
    <row r="81" spans="1:11" ht="17.25" hidden="1" customHeight="1" x14ac:dyDescent="0.35">
      <c r="B81" s="45" t="str">
        <f>IF(ISBLANK(D79),"",IF(OR(H81&gt;=B79,H81&gt;B79-H79),B79-H79,H81))</f>
        <v/>
      </c>
      <c r="F81" s="36" t="str">
        <f>IF(ISBLANK(D79),"",VLOOKUP($F$54,'Tabelle Betreuungsgutscheine'!A1:I16,4,1))</f>
        <v/>
      </c>
      <c r="H81" s="46" t="str">
        <f>IF(ISBLANK($D$79),"",IF($B$79-'Tabelle Betreuungsgutscheine'!D18&lt;='Tabelle Betreuungsgutscheine'!D18,($B$79-$H$79),$F$81))</f>
        <v/>
      </c>
      <c r="J81" s="33" t="e">
        <f>IF(D79/5*100%&lt;=$H$15,F79*(D79/5*100)*236/(100*12),($H$15*F79*236)/12)</f>
        <v>#VALUE!</v>
      </c>
    </row>
    <row r="82" spans="1:11" ht="17.25" hidden="1" customHeight="1" x14ac:dyDescent="0.35">
      <c r="J82" s="80">
        <f>IF(J79="",0,J79)</f>
        <v>0</v>
      </c>
    </row>
    <row r="83" spans="1:11" ht="17.25" hidden="1" customHeight="1" x14ac:dyDescent="0.35"/>
    <row r="84" spans="1:11" ht="17.25" customHeight="1" x14ac:dyDescent="0.35">
      <c r="A84" s="70" t="s">
        <v>28</v>
      </c>
      <c r="B84" s="2"/>
      <c r="D84" s="3"/>
      <c r="F84" s="44" t="str">
        <f>IF(B86&lt;0,0,B86)</f>
        <v/>
      </c>
      <c r="G84" s="31"/>
      <c r="H84" s="4" t="str">
        <f>IF(ISBLANK(D84),"",IF(B84-F86&lt;'Tabelle Betreuungsgutscheine'!E18,'Tabelle Betreuungsgutscheine'!E18,B84-F86))</f>
        <v/>
      </c>
      <c r="I84" s="32"/>
      <c r="J84" s="10" t="str">
        <f>IF(ISBLANK(D84),"",ROUND(J86/5,2)*5)</f>
        <v/>
      </c>
    </row>
    <row r="85" spans="1:11" ht="17.25" customHeight="1" x14ac:dyDescent="0.35">
      <c r="D85" s="15"/>
      <c r="J85" s="25" t="str">
        <f>IF(D84/5*100%&gt;$H$15,"Hinweis: Das maximal unterstützte Pensum liegt bei "&amp;($H$15*100)&amp;"%. Die Kitabetreuung wird an maximal "&amp;($H$15*5)&amp;" Wochentag/en unterstützt.","")</f>
        <v/>
      </c>
    </row>
    <row r="86" spans="1:11" ht="17.25" hidden="1" customHeight="1" x14ac:dyDescent="0.35">
      <c r="B86" s="45" t="str">
        <f>IF(ISBLANK(D84),"",IF(OR(H86&gt;=B84,H86&gt;B84-H84),B84-H84,H86))</f>
        <v/>
      </c>
      <c r="F86" s="36" t="str">
        <f>IF(ISBLANK(D84),"",VLOOKUP($F$54,'Tabelle Betreuungsgutscheine'!A1:I16,5,1))</f>
        <v/>
      </c>
      <c r="H86" s="46" t="str">
        <f>IF(ISBLANK($D$84),"",IF($B$84-'Tabelle Betreuungsgutscheine'!E18&lt;='Tabelle Betreuungsgutscheine'!E18,($B$84-$H$84),$F$86))</f>
        <v/>
      </c>
      <c r="J86" s="33" t="e">
        <f>IF(D84/5*100%&lt;=$H$15,F84*(D84/5*100)*236/(100*12),($H$15*F84*236)/12)</f>
        <v>#VALUE!</v>
      </c>
    </row>
    <row r="87" spans="1:11" ht="17.25" hidden="1" customHeight="1" x14ac:dyDescent="0.35">
      <c r="A87" s="17"/>
      <c r="B87" s="17"/>
      <c r="C87" s="17"/>
      <c r="D87" s="17"/>
      <c r="E87" s="17"/>
      <c r="F87" s="37"/>
      <c r="G87" s="17"/>
      <c r="H87" s="47"/>
      <c r="I87" s="17"/>
      <c r="J87" s="80">
        <f>IF(J84="",0,J84)</f>
        <v>0</v>
      </c>
    </row>
    <row r="88" spans="1:11" ht="17.25" customHeight="1" thickBot="1" x14ac:dyDescent="0.4">
      <c r="A88" s="26" t="s">
        <v>3</v>
      </c>
      <c r="B88" s="27"/>
      <c r="C88" s="27"/>
      <c r="D88" s="27"/>
      <c r="E88" s="27"/>
      <c r="F88" s="27"/>
      <c r="G88" s="27"/>
      <c r="H88" s="27"/>
      <c r="I88" s="27"/>
      <c r="J88" s="27"/>
    </row>
    <row r="89" spans="1:11" ht="9.9499999999999993" customHeight="1" x14ac:dyDescent="0.35"/>
    <row r="90" spans="1:11" ht="34.5" x14ac:dyDescent="0.35">
      <c r="B90" s="29" t="s">
        <v>35</v>
      </c>
      <c r="C90" s="30"/>
      <c r="D90" s="29" t="s">
        <v>16</v>
      </c>
      <c r="E90" s="30"/>
      <c r="F90" s="29" t="s">
        <v>88</v>
      </c>
      <c r="H90" s="29" t="s">
        <v>24</v>
      </c>
      <c r="J90" s="29" t="s">
        <v>51</v>
      </c>
    </row>
    <row r="91" spans="1:11" ht="17.25" customHeight="1" x14ac:dyDescent="0.35">
      <c r="B91" s="2"/>
      <c r="D91" s="3"/>
      <c r="F91" s="44" t="str">
        <f>IF(B93&lt;0,0,B93)</f>
        <v/>
      </c>
      <c r="G91" s="31"/>
      <c r="H91" s="4" t="str">
        <f>IF(ISBLANK(D91),"",IF(B91-F93&lt;='Tabelle Betreuungsgutscheine'!F18,'Tabelle Betreuungsgutscheine'!F18,B91-F93))</f>
        <v/>
      </c>
      <c r="I91" s="31"/>
      <c r="J91" s="10" t="str">
        <f>IF(ISBLANK(D91),"",ROUND(J93/5,2)*5)</f>
        <v/>
      </c>
    </row>
    <row r="92" spans="1:11" ht="17.25" customHeight="1" x14ac:dyDescent="0.35">
      <c r="D92" s="15"/>
      <c r="J92" s="25" t="str">
        <f>IF(D91*100%/50&gt;$H$15,"Hinweis: Das maximal unterstützte Pensum liegt bei "&amp;($H$15*100)&amp;"%. Es werden maximal "&amp;($H$15*200)&amp;" Stunden pro Monat unterstützt.","")</f>
        <v/>
      </c>
    </row>
    <row r="93" spans="1:11" ht="17.25" hidden="1" customHeight="1" x14ac:dyDescent="0.35">
      <c r="B93" s="45" t="str">
        <f>IF(ISBLANK(D91),"",IF(OR(H93&gt;=B91,H93&gt;B91-H91),B91-H91,H93))</f>
        <v/>
      </c>
      <c r="D93" s="15"/>
      <c r="F93" s="36" t="str">
        <f>IF(ISBLANK(D91),"",VLOOKUP($F$54,'Tabelle Betreuungsgutscheine'!A1:I16,6,1))</f>
        <v/>
      </c>
      <c r="H93" s="46" t="str">
        <f>IF(ISBLANK(D91),"",IF(B91-'Tabelle Betreuungsgutscheine'!F18&lt;='Tabelle Betreuungsgutscheine'!F18,(B91-H91),F93))</f>
        <v/>
      </c>
      <c r="J93" s="33" t="e">
        <f>IF(D91*100%/50&lt;=$H$15,F91*D91*48/12,(F91*($H$15*50/100%)*48)/12)</f>
        <v>#VALUE!</v>
      </c>
    </row>
    <row r="94" spans="1:11" s="60" customFormat="1" ht="17.25" hidden="1" customHeight="1" x14ac:dyDescent="0.35">
      <c r="A94" s="49"/>
      <c r="B94" s="49"/>
      <c r="C94" s="55"/>
      <c r="D94" s="49"/>
      <c r="E94" s="53"/>
      <c r="F94" s="49"/>
      <c r="G94" s="56"/>
      <c r="H94" s="49"/>
      <c r="I94" s="54"/>
      <c r="J94" s="80">
        <f>IF(J91="",0,J91)</f>
        <v>0</v>
      </c>
      <c r="K94" s="61"/>
    </row>
    <row r="95" spans="1:11" ht="17.25" hidden="1" customHeight="1" x14ac:dyDescent="0.35"/>
    <row r="96" spans="1:11" s="17" customFormat="1" ht="17.25" customHeight="1" thickBot="1" x14ac:dyDescent="0.4">
      <c r="A96" s="26" t="s">
        <v>75</v>
      </c>
      <c r="B96" s="27"/>
      <c r="C96" s="27"/>
      <c r="D96" s="27"/>
      <c r="E96" s="27"/>
      <c r="F96" s="27"/>
      <c r="G96" s="27"/>
      <c r="H96" s="27"/>
      <c r="I96" s="27"/>
      <c r="J96" s="27"/>
    </row>
    <row r="97" spans="1:11" s="70" customFormat="1" ht="9.9499999999999993" customHeight="1" x14ac:dyDescent="0.35"/>
    <row r="98" spans="1:11" s="70" customFormat="1" ht="34.5" x14ac:dyDescent="0.35">
      <c r="B98" s="29" t="s">
        <v>76</v>
      </c>
      <c r="C98" s="30"/>
      <c r="D98" s="29" t="s">
        <v>77</v>
      </c>
      <c r="E98" s="30"/>
      <c r="F98" s="29" t="s">
        <v>78</v>
      </c>
      <c r="H98" s="29" t="s">
        <v>79</v>
      </c>
      <c r="J98" s="29" t="s">
        <v>80</v>
      </c>
      <c r="K98" s="77"/>
    </row>
    <row r="99" spans="1:11" s="70" customFormat="1" ht="17.25" customHeight="1" x14ac:dyDescent="0.35">
      <c r="A99" s="70" t="s">
        <v>81</v>
      </c>
      <c r="B99" s="2"/>
      <c r="D99" s="78"/>
      <c r="F99" s="44" t="str">
        <f>IF(B101&lt;0,0,B101)</f>
        <v/>
      </c>
      <c r="G99" s="31"/>
      <c r="H99" s="4" t="str">
        <f>IF(ISBLANK(D99),"",IF(B99-F101&lt;=8,8,B99-F101))</f>
        <v/>
      </c>
      <c r="J99" s="10" t="str">
        <f>IF(ISBLANK(D99),"",ROUND(J101/5,2)*5)</f>
        <v/>
      </c>
    </row>
    <row r="100" spans="1:11" s="70" customFormat="1" ht="17.25" customHeight="1" x14ac:dyDescent="0.35">
      <c r="D100" s="15"/>
      <c r="J100" s="25" t="str">
        <f>IF(D99/5*100%&gt;H15,"Hinweis: Das maximal unterstützte Pensum liegt bei "&amp;(H15*100)&amp;"%. Die Tagesstrukturen werden an maximal "&amp;(H15*5)&amp;" Wochentag/en unterstützt.","")</f>
        <v/>
      </c>
    </row>
    <row r="101" spans="1:11" s="70" customFormat="1" ht="17.25" hidden="1" customHeight="1" x14ac:dyDescent="0.35">
      <c r="B101" s="45" t="str">
        <f>IF(ISBLANK(D99),"",IF(OR(H101&gt;=B99,H101&gt;B99-H99),B99-H99,H101))</f>
        <v/>
      </c>
      <c r="D101" s="15"/>
      <c r="F101" s="36" t="str">
        <f>IF(ISBLANK(D99),"",VLOOKUP($F$54,'Tabelle Betreuungsgutscheine'!A1:I16,7,1))</f>
        <v/>
      </c>
      <c r="H101" s="46" t="str">
        <f>IF(ISBLANK(D99),"",IF(B99-'Tabelle Betreuungsgutscheine'!G18&lt;='Tabelle Betreuungsgutscheine'!G18,(B99-H99),F101))</f>
        <v/>
      </c>
      <c r="J101" s="33" t="e">
        <f>IF(D99/5*100%&lt;=$H$21,F99*(D99/5*100)*190/(100*12),($H$21*F99*190)/12)</f>
        <v>#VALUE!</v>
      </c>
    </row>
    <row r="102" spans="1:11" s="17" customFormat="1" ht="17.25" hidden="1" customHeight="1" x14ac:dyDescent="0.35">
      <c r="F102" s="37"/>
      <c r="H102" s="47"/>
      <c r="J102" s="79">
        <f>IF(J99="",0,J99)</f>
        <v>0</v>
      </c>
    </row>
    <row r="103" spans="1:11" s="70" customFormat="1" ht="17.25" hidden="1" customHeight="1" x14ac:dyDescent="0.35">
      <c r="D103" s="15"/>
      <c r="J103" s="25"/>
    </row>
    <row r="104" spans="1:11" s="70" customFormat="1" ht="17.25" customHeight="1" x14ac:dyDescent="0.35">
      <c r="A104" s="70" t="s">
        <v>82</v>
      </c>
      <c r="B104" s="2"/>
      <c r="D104" s="78"/>
      <c r="F104" s="44" t="str">
        <f>IF(B106&lt;0,0,B106)</f>
        <v/>
      </c>
      <c r="G104" s="31"/>
      <c r="H104" s="4" t="str">
        <f>IF(ISBLANK(D104),"",IF(B104-F106&lt;=8,8,B104-F106))</f>
        <v/>
      </c>
      <c r="J104" s="10" t="str">
        <f>IF(ISBLANK(D104),"",ROUND(J106/5,2)*5)</f>
        <v/>
      </c>
    </row>
    <row r="105" spans="1:11" s="70" customFormat="1" ht="17.25" customHeight="1" x14ac:dyDescent="0.35">
      <c r="D105" s="15"/>
      <c r="F105" s="17"/>
      <c r="G105" s="17"/>
      <c r="H105" s="17"/>
      <c r="I105" s="17"/>
      <c r="J105" s="25" t="str">
        <f>IF(D104/5*100%&gt;H15,"Hinweis: Das maximal unterstützte Pensum liegt bei "&amp;(H15*100)&amp;"%. Die Tagesstrukturen werden an maximal "&amp;(H15*5)&amp;" Wochentag/en unterstützt.","")</f>
        <v/>
      </c>
    </row>
    <row r="106" spans="1:11" s="70" customFormat="1" ht="17.25" hidden="1" customHeight="1" x14ac:dyDescent="0.35">
      <c r="B106" s="45" t="str">
        <f>IF(ISBLANK(D104),"",IF(OR(H106&gt;=B104,H106&gt;B104-H104),B104-H104,H106))</f>
        <v/>
      </c>
      <c r="D106" s="15"/>
      <c r="F106" s="36" t="str">
        <f>IF(ISBLANK(D104),"",VLOOKUP($F$54,'Tabelle Betreuungsgutscheine'!A1:I16,8,1))</f>
        <v/>
      </c>
      <c r="H106" s="46" t="str">
        <f>IF(ISBLANK(D104),"",IF(B104-'Tabelle Betreuungsgutscheine'!H18&lt;='Tabelle Betreuungsgutscheine'!H18,(B104-H104),F106))</f>
        <v/>
      </c>
      <c r="J106" s="33" t="e">
        <f>IF(D104/5*100%&lt;=$H$21,F104*(D104/5*100)*190/(100*12),($H$21*F104*190)/12)</f>
        <v>#VALUE!</v>
      </c>
    </row>
    <row r="107" spans="1:11" s="17" customFormat="1" ht="17.25" hidden="1" customHeight="1" x14ac:dyDescent="0.35">
      <c r="F107" s="37"/>
      <c r="H107" s="47"/>
      <c r="J107" s="79">
        <f>IF(J104="",0,J104)</f>
        <v>0</v>
      </c>
    </row>
    <row r="108" spans="1:11" s="70" customFormat="1" ht="17.25" hidden="1" customHeight="1" x14ac:dyDescent="0.35">
      <c r="D108" s="15"/>
      <c r="J108" s="25"/>
    </row>
    <row r="109" spans="1:11" s="70" customFormat="1" ht="17.25" customHeight="1" x14ac:dyDescent="0.35">
      <c r="A109" s="70" t="s">
        <v>83</v>
      </c>
      <c r="B109" s="2"/>
      <c r="D109" s="78"/>
      <c r="F109" s="44" t="str">
        <f>IF(B111&lt;0,0,B111)</f>
        <v/>
      </c>
      <c r="G109" s="31"/>
      <c r="H109" s="4" t="str">
        <f>IF(ISBLANK(D109),"",IF(B109-F111&lt;=4,4,B109-F111))</f>
        <v/>
      </c>
      <c r="J109" s="10" t="str">
        <f>IF(ISBLANK(D109),"",ROUND(J111/5,2)*5)</f>
        <v/>
      </c>
    </row>
    <row r="110" spans="1:11" s="70" customFormat="1" ht="17.25" customHeight="1" x14ac:dyDescent="0.35">
      <c r="D110" s="15"/>
      <c r="F110" s="17"/>
      <c r="G110" s="17"/>
      <c r="H110" s="17"/>
      <c r="I110" s="17"/>
      <c r="J110" s="25" t="str">
        <f>IF(D109/5*100%&gt;H15,"Hinweis: Das maximal unterstützte Pensum liegt bei "&amp;(H15*100)&amp;"%. Die Tagesstrukturen werden an maximal "&amp;(H15*5)&amp;" Wochentag/en unterstützt.","")</f>
        <v/>
      </c>
    </row>
    <row r="111" spans="1:11" s="70" customFormat="1" ht="17.25" hidden="1" customHeight="1" x14ac:dyDescent="0.35">
      <c r="B111" s="45" t="str">
        <f>IF(ISBLANK(D109),"",IF(OR(H111&gt;=B109,H111&gt;B109-H109),B109-H109,H111))</f>
        <v/>
      </c>
      <c r="D111" s="15"/>
      <c r="F111" s="36" t="str">
        <f>IF(ISBLANK(D109),"",VLOOKUP($F$54,'Tabelle Betreuungsgutscheine'!A1:I17,9,1))</f>
        <v/>
      </c>
      <c r="H111" s="46" t="str">
        <f>IF(ISBLANK(D109),"",IF(B109-'Tabelle Betreuungsgutscheine'!I18&lt;='Tabelle Betreuungsgutscheine'!I18,(B109-H109),F111))</f>
        <v/>
      </c>
      <c r="J111" s="33" t="e">
        <f>IF(D109/5*100%&lt;=$H$21,F109*(D109/5*100)*190/(100*12),($H$21*F109*190)/12)</f>
        <v>#VALUE!</v>
      </c>
    </row>
    <row r="112" spans="1:11" s="17" customFormat="1" ht="17.25" hidden="1" customHeight="1" x14ac:dyDescent="0.35">
      <c r="F112" s="37"/>
      <c r="H112" s="47"/>
      <c r="J112" s="79">
        <f>IF(J109="",0,J109)</f>
        <v>0</v>
      </c>
    </row>
    <row r="113" spans="1:10" x14ac:dyDescent="0.35">
      <c r="A113" s="20" t="s">
        <v>19</v>
      </c>
      <c r="B113" s="20"/>
      <c r="C113" s="21"/>
      <c r="D113" s="21"/>
      <c r="E113" s="21"/>
      <c r="F113" s="21"/>
      <c r="G113" s="21"/>
      <c r="H113" s="21"/>
      <c r="I113" s="21"/>
      <c r="J113" s="21"/>
    </row>
    <row r="114" spans="1:10" x14ac:dyDescent="0.35">
      <c r="H114" s="88"/>
    </row>
    <row r="115" spans="1:10" x14ac:dyDescent="0.35">
      <c r="A115" s="70" t="s">
        <v>22</v>
      </c>
      <c r="D115" s="7">
        <f ca="1">IF(F71&gt;TODAY(),F71,TODAY()+30)</f>
        <v>43240</v>
      </c>
      <c r="F115" s="104"/>
      <c r="G115" s="104"/>
      <c r="H115" s="104"/>
      <c r="I115" s="104"/>
      <c r="J115" s="104"/>
    </row>
    <row r="116" spans="1:10" x14ac:dyDescent="0.35">
      <c r="F116" s="104"/>
      <c r="G116" s="104"/>
      <c r="H116" s="104"/>
      <c r="I116" s="104"/>
      <c r="J116" s="104"/>
    </row>
    <row r="117" spans="1:10" ht="17.25" customHeight="1" x14ac:dyDescent="0.35">
      <c r="A117" s="70" t="s">
        <v>8</v>
      </c>
      <c r="D117" s="8">
        <f>$F$54</f>
        <v>0</v>
      </c>
      <c r="F117" s="104"/>
      <c r="G117" s="104"/>
      <c r="H117" s="104"/>
      <c r="I117" s="104"/>
      <c r="J117" s="104"/>
    </row>
    <row r="118" spans="1:10" ht="8.1" customHeight="1" x14ac:dyDescent="0.35">
      <c r="F118" s="104"/>
      <c r="G118" s="104"/>
      <c r="H118" s="104"/>
      <c r="I118" s="104"/>
      <c r="J118" s="104"/>
    </row>
    <row r="119" spans="1:10" ht="17.25" customHeight="1" x14ac:dyDescent="0.35">
      <c r="A119" s="70" t="s">
        <v>49</v>
      </c>
      <c r="D119" s="8">
        <f>-$D$60</f>
        <v>0</v>
      </c>
      <c r="F119" s="104"/>
      <c r="G119" s="104"/>
      <c r="H119" s="104"/>
      <c r="I119" s="104"/>
      <c r="J119" s="104"/>
    </row>
    <row r="120" spans="1:10" ht="10.5" customHeight="1" x14ac:dyDescent="0.35">
      <c r="F120" s="58"/>
      <c r="G120" s="58"/>
      <c r="H120" s="58"/>
      <c r="I120" s="58"/>
      <c r="J120" s="58"/>
    </row>
    <row r="121" spans="1:10" ht="17.25" customHeight="1" x14ac:dyDescent="0.35">
      <c r="A121" s="70" t="s">
        <v>50</v>
      </c>
      <c r="D121" s="8">
        <f>-H$64</f>
        <v>0</v>
      </c>
      <c r="F121" s="104"/>
      <c r="G121" s="104"/>
      <c r="H121" s="104"/>
      <c r="I121" s="104"/>
      <c r="J121" s="104"/>
    </row>
    <row r="122" spans="1:10" x14ac:dyDescent="0.35"/>
    <row r="123" spans="1:10" ht="17.25" customHeight="1" x14ac:dyDescent="0.35">
      <c r="A123" s="71" t="s">
        <v>80</v>
      </c>
      <c r="B123" s="71" t="s">
        <v>44</v>
      </c>
      <c r="D123" s="85">
        <f>J82+'2. Kind'!J36+'3. Kind'!J35</f>
        <v>0</v>
      </c>
    </row>
    <row r="124" spans="1:10" x14ac:dyDescent="0.35">
      <c r="A124" s="70" t="s">
        <v>89</v>
      </c>
      <c r="B124" s="71"/>
    </row>
    <row r="125" spans="1:10" x14ac:dyDescent="0.35">
      <c r="B125" s="71" t="s">
        <v>45</v>
      </c>
      <c r="D125" s="85">
        <f>J87+'2. Kind'!J41+'3. Kind'!J40</f>
        <v>0</v>
      </c>
    </row>
    <row r="126" spans="1:10" x14ac:dyDescent="0.35">
      <c r="B126" s="71"/>
      <c r="D126" s="34"/>
    </row>
    <row r="127" spans="1:10" ht="16.5" customHeight="1" x14ac:dyDescent="0.35">
      <c r="B127" s="71" t="s">
        <v>3</v>
      </c>
      <c r="D127" s="85">
        <f>J94+'2. Kind'!J53+'3. Kind'!J52</f>
        <v>0</v>
      </c>
      <c r="F127" s="98" t="str">
        <f>IF(OR(D127="",D127=0),"","Hinweis: Dies entspricht dem maximalen Anspruch, die Stunden werden nachträglich effektiv abgerechnet.")</f>
        <v/>
      </c>
      <c r="G127" s="98"/>
      <c r="H127" s="98"/>
      <c r="I127" s="98"/>
      <c r="J127" s="98"/>
    </row>
    <row r="128" spans="1:10" ht="16.5" customHeight="1" x14ac:dyDescent="0.35">
      <c r="B128" s="71"/>
      <c r="F128" s="98"/>
      <c r="G128" s="98"/>
      <c r="H128" s="98"/>
      <c r="I128" s="98"/>
      <c r="J128" s="98"/>
    </row>
    <row r="129" spans="2:10" x14ac:dyDescent="0.35">
      <c r="B129" s="71" t="s">
        <v>75</v>
      </c>
      <c r="D129" s="85">
        <f>J102+J107+J112+'2. Kind'!J65+'2. Kind'!J75+'3. Kind'!J64+'3. Kind'!J74+'3. Kind'!J84</f>
        <v>0</v>
      </c>
    </row>
    <row r="130" spans="2:10" x14ac:dyDescent="0.35">
      <c r="B130" s="71"/>
      <c r="D130" s="34"/>
    </row>
    <row r="131" spans="2:10" x14ac:dyDescent="0.35">
      <c r="B131" s="71" t="s">
        <v>40</v>
      </c>
      <c r="D131" s="9">
        <f>'2. Kind'!J46+'2. Kind'!J58+'2. Kind'!J70+'2. Kind'!J80+'2. Kind'!J90+'3. Kind'!J45+'3. Kind'!J57+'3. Kind'!J69+'3. Kind'!J79+'3. Kind'!J89</f>
        <v>0</v>
      </c>
      <c r="F131" s="52"/>
      <c r="G131" s="52"/>
      <c r="H131" s="52"/>
      <c r="I131" s="52"/>
      <c r="J131" s="49"/>
    </row>
    <row r="132" spans="2:10" x14ac:dyDescent="0.35">
      <c r="F132" s="49"/>
      <c r="G132" s="49"/>
      <c r="H132" s="49"/>
      <c r="I132" s="49"/>
      <c r="J132" s="49"/>
    </row>
    <row r="133" spans="2:10" x14ac:dyDescent="0.35">
      <c r="B133" s="71" t="s">
        <v>41</v>
      </c>
      <c r="D133" s="9">
        <f>D119+D121+D123+D125+D127+D129+D131</f>
        <v>0</v>
      </c>
      <c r="F133" s="52"/>
      <c r="G133" s="52"/>
      <c r="H133" s="52"/>
      <c r="I133" s="52"/>
      <c r="J133" s="49"/>
    </row>
    <row r="134" spans="2:10" hidden="1" x14ac:dyDescent="0.35"/>
    <row r="135" spans="2:10" hidden="1" x14ac:dyDescent="0.35"/>
    <row r="136" spans="2:10" hidden="1" x14ac:dyDescent="0.35"/>
    <row r="137" spans="2:10" hidden="1" x14ac:dyDescent="0.35"/>
    <row r="138" spans="2:10" hidden="1" x14ac:dyDescent="0.35"/>
    <row r="139" spans="2:10" hidden="1" x14ac:dyDescent="0.35"/>
    <row r="140" spans="2:10" hidden="1" x14ac:dyDescent="0.35"/>
    <row r="141" spans="2:10" hidden="1" x14ac:dyDescent="0.35"/>
    <row r="142" spans="2:10" hidden="1" x14ac:dyDescent="0.35"/>
    <row r="143" spans="2:10" hidden="1" x14ac:dyDescent="0.35"/>
    <row r="144" spans="2:10"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row r="157" hidden="1" x14ac:dyDescent="0.35"/>
  </sheetData>
  <sheetProtection password="FE71" sheet="1" objects="1" scenarios="1"/>
  <mergeCells count="19">
    <mergeCell ref="F117:J117"/>
    <mergeCell ref="F118:J118"/>
    <mergeCell ref="A5:K5"/>
    <mergeCell ref="F127:J128"/>
    <mergeCell ref="A12:A14"/>
    <mergeCell ref="I60:J60"/>
    <mergeCell ref="F62:J62"/>
    <mergeCell ref="J12:J14"/>
    <mergeCell ref="F69:J69"/>
    <mergeCell ref="F119:J119"/>
    <mergeCell ref="F121:J121"/>
    <mergeCell ref="H19:J19"/>
    <mergeCell ref="H21:J21"/>
    <mergeCell ref="A26:E28"/>
    <mergeCell ref="H27:J27"/>
    <mergeCell ref="I51:J51"/>
    <mergeCell ref="I54:J54"/>
    <mergeCell ref="F115:J115"/>
    <mergeCell ref="F116:J116"/>
  </mergeCells>
  <conditionalFormatting sqref="I92:J92 I80:J80 G86:G87 G85:J85 I86:I87">
    <cfRule type="expression" dxfId="70" priority="133">
      <formula>IF(G80&lt;&gt;"",1,0)</formula>
    </cfRule>
  </conditionalFormatting>
  <conditionalFormatting sqref="D119:D121">
    <cfRule type="cellIs" dxfId="69" priority="125" operator="lessThan">
      <formula>0</formula>
    </cfRule>
  </conditionalFormatting>
  <conditionalFormatting sqref="A76:A77 A73">
    <cfRule type="expression" dxfId="68" priority="141">
      <formula>IF(#REF!&lt;&gt;"",1,0)</formula>
    </cfRule>
  </conditionalFormatting>
  <conditionalFormatting sqref="I81">
    <cfRule type="expression" dxfId="67" priority="123">
      <formula>IF(I81&lt;&gt;"",1,0)</formula>
    </cfRule>
  </conditionalFormatting>
  <conditionalFormatting sqref="I93">
    <cfRule type="expression" dxfId="66" priority="122">
      <formula>IF(I93&lt;&gt;"",1,0)</formula>
    </cfRule>
  </conditionalFormatting>
  <conditionalFormatting sqref="H11">
    <cfRule type="cellIs" dxfId="65" priority="102" operator="equal">
      <formula>"kein Anspruch - zu niedriges Pensum"</formula>
    </cfRule>
  </conditionalFormatting>
  <conditionalFormatting sqref="H13">
    <cfRule type="cellIs" dxfId="64" priority="101" operator="equal">
      <formula>"kein Anspruch - zu niedriges Pensum"</formula>
    </cfRule>
  </conditionalFormatting>
  <conditionalFormatting sqref="J12">
    <cfRule type="expression" dxfId="63" priority="95">
      <formula>IF($J$12&lt;&gt;"",1,0)</formula>
    </cfRule>
  </conditionalFormatting>
  <conditionalFormatting sqref="F62">
    <cfRule type="expression" dxfId="62" priority="94">
      <formula>IF($F$62&lt;&gt;"",1,0)</formula>
    </cfRule>
  </conditionalFormatting>
  <conditionalFormatting sqref="G81 G80:H80">
    <cfRule type="expression" dxfId="61" priority="92">
      <formula>IF(G80&lt;&gt;"",1,0)</formula>
    </cfRule>
  </conditionalFormatting>
  <conditionalFormatting sqref="G93 G92:H92">
    <cfRule type="expression" dxfId="60" priority="91">
      <formula>IF(G92&lt;&gt;"",1,0)</formula>
    </cfRule>
  </conditionalFormatting>
  <conditionalFormatting sqref="F94 H94">
    <cfRule type="expression" dxfId="59" priority="83">
      <formula>IF(F94&lt;&gt;"",1,0)</formula>
    </cfRule>
  </conditionalFormatting>
  <conditionalFormatting sqref="F127">
    <cfRule type="expression" dxfId="58" priority="142">
      <formula>IF($F$127&lt;&gt;"",1,0)</formula>
    </cfRule>
    <cfRule type="expression" dxfId="57" priority="143">
      <formula>IF(OR($F$127="",$F$127=0),1,0)</formula>
    </cfRule>
  </conditionalFormatting>
  <conditionalFormatting sqref="H19">
    <cfRule type="expression" dxfId="56" priority="11">
      <formula>IF($H$19&lt;&gt;"",1,0)</formula>
    </cfRule>
  </conditionalFormatting>
  <conditionalFormatting sqref="H21">
    <cfRule type="expression" dxfId="55" priority="10">
      <formula>IF($H$21&lt;&gt;"",1,0)</formula>
    </cfRule>
  </conditionalFormatting>
  <conditionalFormatting sqref="H27:J27">
    <cfRule type="expression" dxfId="54" priority="9">
      <formula>IF($H$27&lt;&gt;"",1,0)</formula>
    </cfRule>
  </conditionalFormatting>
  <conditionalFormatting sqref="G100:J100 G105:J105">
    <cfRule type="expression" dxfId="53" priority="8">
      <formula>IF(G100&lt;&gt;"",1,0)</formula>
    </cfRule>
  </conditionalFormatting>
  <conditionalFormatting sqref="I101">
    <cfRule type="expression" dxfId="52" priority="7">
      <formula>IF(I101&lt;&gt;"",1,0)</formula>
    </cfRule>
  </conditionalFormatting>
  <conditionalFormatting sqref="I106">
    <cfRule type="expression" dxfId="51" priority="6">
      <formula>IF(I106&lt;&gt;"",1,0)</formula>
    </cfRule>
  </conditionalFormatting>
  <conditionalFormatting sqref="G110:I110">
    <cfRule type="expression" dxfId="50" priority="5">
      <formula>IF(G110&lt;&gt;"",1,0)</formula>
    </cfRule>
  </conditionalFormatting>
  <conditionalFormatting sqref="J110">
    <cfRule type="expression" dxfId="49" priority="4">
      <formula>IF(J110&lt;&gt;"",1,0)</formula>
    </cfRule>
  </conditionalFormatting>
  <conditionalFormatting sqref="I111">
    <cfRule type="expression" dxfId="48" priority="3">
      <formula>IF(I111&lt;&gt;"",1,0)</formula>
    </cfRule>
  </conditionalFormatting>
  <conditionalFormatting sqref="G103:J103">
    <cfRule type="expression" dxfId="47" priority="2">
      <formula>IF(G103&lt;&gt;"",1,0)</formula>
    </cfRule>
  </conditionalFormatting>
  <conditionalFormatting sqref="G108:J108">
    <cfRule type="expression" dxfId="46" priority="1">
      <formula>IF(G108&lt;&gt;"",1,0)</formula>
    </cfRule>
  </conditionalFormatting>
  <dataValidations count="19">
    <dataValidation allowBlank="1" showInputMessage="1" showErrorMessage="1" errorTitle="Ungültige Eingabe" error="Bitte nur ganze Zahlen eingeben." sqref="B69"/>
    <dataValidation type="date" allowBlank="1" showInputMessage="1" showErrorMessage="1" error="Bitte geben Sie ein Datum nach dem 01. Juli 2017 ein." sqref="B61 B63 F61 F63 F59 B59 H61 H63 H59">
      <formula1>42917</formula1>
      <formula2>47484</formula2>
    </dataValidation>
    <dataValidation type="whole" allowBlank="1" showInputMessage="1" showErrorMessage="1" sqref="D60">
      <formula1>0</formula1>
      <formula2>99999999</formula2>
    </dataValidation>
    <dataValidation type="whole" allowBlank="1" showInputMessage="1" showErrorMessage="1" errorTitle="Ungültige Eingabe" error="Bitte nur ganze Zahlen eingeben." sqref="D40 F23:F25 F32 D36 D38 F38 F40 D42 F49 F46:F47 H40 H42 F34 F36 F42 D44 D46 D49">
      <formula1>0</formula1>
      <formula2>999999999</formula2>
    </dataValidation>
    <dataValidation type="list" allowBlank="1" showInputMessage="1" showErrorMessage="1" sqref="D64 D62">
      <formula1>"bitte wählen, Ja, Nein"</formula1>
    </dataValidation>
    <dataValidation type="date" allowBlank="1" showInputMessage="1" showErrorMessage="1" sqref="F71">
      <formula1>42736</formula1>
      <formula2>47484</formula2>
    </dataValidation>
    <dataValidation type="date" allowBlank="1" showInputMessage="1" showErrorMessage="1" errorTitle="Ungültige Eingabe" error="Bitte Datum eingeben." sqref="B71">
      <formula1>32143</formula1>
      <formula2>47484</formula2>
    </dataValidation>
    <dataValidation type="decimal" allowBlank="1" showInputMessage="1" showErrorMessage="1" sqref="F12:F13 B12 D11:D12">
      <formula1>0</formula1>
      <formula2>1</formula2>
    </dataValidation>
    <dataValidation type="decimal" allowBlank="1" showInputMessage="1" showErrorMessage="1" errorTitle="Ungültige Eingabe" error="Das maximale Betreuungsvolumen beträgt 50 Stunden pro Woche." sqref="D91">
      <formula1>0</formula1>
      <formula2>50</formula2>
    </dataValidation>
    <dataValidation type="decimal" allowBlank="1" showInputMessage="1" showErrorMessage="1" errorTitle="Ungültige Eingabe" error="Das maximale Betreuungsvolumen beträgt 5 Tage pro Woche." sqref="D84 D79">
      <formula1>0</formula1>
      <formula2>5</formula2>
    </dataValidation>
    <dataValidation type="decimal" allowBlank="1" showInputMessage="1" showErrorMessage="1" errorTitle="Ungültige Eingabe" error="Bitte nur ganze Zahlen eingeben." sqref="B91">
      <formula1>0</formula1>
      <formula2>999999999</formula2>
    </dataValidation>
    <dataValidation type="decimal" allowBlank="1" showInputMessage="1" showErrorMessage="1" errorTitle="Ungültige Eingabe" error="Bitte nur ganze Zahlen eingeben." sqref="B79 B84">
      <formula1>0</formula1>
      <formula2>300</formula2>
    </dataValidation>
    <dataValidation type="decimal" allowBlank="1" showInputMessage="1" showErrorMessage="1" errorTitle="Ungültige Eingabe" error="Das maximale Pensum pro Person liegt bei 100%." sqref="B11 B13 D13">
      <formula1>0</formula1>
      <formula2>1</formula2>
    </dataValidation>
    <dataValidation type="list" allowBlank="1" showInputMessage="1" showErrorMessage="1" errorTitle="Ungültige Eingabe" error="Bitte aus Dropdown wählen." sqref="F19 F21">
      <formula1>"bitte wählen, Ja, Nein"</formula1>
    </dataValidation>
    <dataValidation type="list" allowBlank="1" showInputMessage="1" showErrorMessage="1" error="Bitte aus Dropdown wählen." sqref="I60:J60">
      <formula1>"bitte wählen, Ja, Nein"</formula1>
    </dataValidation>
    <dataValidation type="list" allowBlank="1" showInputMessage="1" showErrorMessage="1" errorTitle="Ungültige Eingabe" error="Bitte aus Dropdown wählen." sqref="F27">
      <formula1>"bitte wählen, Ja oder weiss nicht, Nein"</formula1>
    </dataValidation>
    <dataValidation type="decimal" allowBlank="1" showInputMessage="1" showErrorMessage="1" errorTitle="Ungültige Eingabe" error="Das maximale Betreuungsvolumen beträgt 5 Module pro Woche." sqref="D99 D104">
      <formula1>0</formula1>
      <formula2>5</formula2>
    </dataValidation>
    <dataValidation type="whole" allowBlank="1" showInputMessage="1" showErrorMessage="1" errorTitle="Ungültige Eingabe" error="Das maximale Betreuungsvolumen beträgt 5 Module pro Woche." sqref="D109">
      <formula1>0</formula1>
      <formula2>5</formula2>
    </dataValidation>
    <dataValidation type="decimal" allowBlank="1" showInputMessage="1" showErrorMessage="1" sqref="B109 B99 B104">
      <formula1>0</formula1>
      <formula2>200</formula2>
    </dataValidation>
  </dataValidations>
  <hyperlinks>
    <hyperlink ref="H46" r:id="rId1"/>
    <hyperlink ref="H49" r:id="rId2"/>
  </hyperlinks>
  <pageMargins left="0.78740157480314965" right="0.39370078740157483" top="0.40104166666666669" bottom="0.59055118110236227" header="0.15748031496062992" footer="0.15748031496062992"/>
  <pageSetup paperSize="9" scale="55" fitToHeight="0" orientation="portrait" r:id="rId3"/>
  <headerFooter>
    <oddHeader>&amp;R&amp;"Gill Sans MT,Standard"Copyright: Büro Communis GmbH, Luzern (2018)</oddHeader>
    <oddFooter>&amp;L&amp;"Gill Sans MT,Standard"&amp;9&amp;F&amp;R&amp;"Gill Sans MT,Standard"&amp;9Seite &amp;P von &amp;N</oddFooter>
  </headerFooter>
  <rowBreaks count="1" manualBreakCount="1">
    <brk id="95" max="16383" man="1"/>
  </rowBreaks>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0"/>
  <sheetViews>
    <sheetView showGridLines="0" view="pageLayout" zoomScale="110" zoomScaleNormal="80" zoomScaleSheetLayoutView="83" zoomScalePageLayoutView="110" workbookViewId="0">
      <selection activeCell="B11" sqref="B11"/>
    </sheetView>
  </sheetViews>
  <sheetFormatPr baseColWidth="10" defaultColWidth="0" defaultRowHeight="17.25" zeroHeight="1" x14ac:dyDescent="0.35"/>
  <cols>
    <col min="1" max="1" width="35.5703125" style="70" customWidth="1"/>
    <col min="2" max="2" width="23.5703125" style="70" customWidth="1"/>
    <col min="3" max="3" width="3.5703125" style="70" customWidth="1"/>
    <col min="4" max="4" width="23.5703125" style="70" customWidth="1"/>
    <col min="5" max="5" width="3.5703125" style="70" customWidth="1"/>
    <col min="6" max="6" width="23.5703125" style="70" customWidth="1"/>
    <col min="7" max="7" width="3.5703125" style="70" customWidth="1"/>
    <col min="8" max="8" width="23.5703125" style="70" customWidth="1"/>
    <col min="9" max="9" width="3.5703125" style="70" customWidth="1"/>
    <col min="10" max="10" width="23.5703125" style="70" customWidth="1"/>
    <col min="11" max="11" width="0" style="61" hidden="1" customWidth="1"/>
    <col min="12" max="17" width="0" style="83" hidden="1" customWidth="1"/>
    <col min="18" max="16384" width="10.85546875" style="83" hidden="1"/>
  </cols>
  <sheetData>
    <row r="1" spans="1:17" ht="72.75" customHeight="1" x14ac:dyDescent="0.35">
      <c r="A1" s="93"/>
      <c r="B1" s="86"/>
      <c r="C1" s="86"/>
      <c r="D1" s="86"/>
      <c r="E1" s="86"/>
      <c r="F1" s="86"/>
      <c r="G1" s="86"/>
      <c r="H1" s="86"/>
      <c r="I1" s="86"/>
      <c r="J1" s="86"/>
    </row>
    <row r="2" spans="1:17" s="61" customFormat="1" ht="21.75" x14ac:dyDescent="0.45">
      <c r="A2" s="57" t="s">
        <v>92</v>
      </c>
      <c r="B2" s="40"/>
      <c r="C2" s="70"/>
      <c r="D2" s="70"/>
      <c r="E2" s="70"/>
      <c r="F2" s="70"/>
      <c r="G2" s="70"/>
      <c r="H2" s="41"/>
      <c r="I2" s="25" t="s">
        <v>20</v>
      </c>
      <c r="J2" s="41">
        <f ca="1">TODAY()</f>
        <v>43210</v>
      </c>
    </row>
    <row r="3" spans="1:17" s="61" customFormat="1" ht="9" customHeight="1" x14ac:dyDescent="0.35">
      <c r="A3" s="70"/>
      <c r="B3" s="42"/>
      <c r="C3" s="70"/>
      <c r="D3" s="70"/>
      <c r="E3" s="70"/>
      <c r="F3" s="70"/>
      <c r="G3" s="70"/>
      <c r="H3" s="70"/>
      <c r="I3" s="70"/>
      <c r="J3" s="70"/>
    </row>
    <row r="4" spans="1:17" s="61" customFormat="1" ht="0.95" customHeight="1" x14ac:dyDescent="0.35">
      <c r="A4" s="70"/>
      <c r="B4" s="70"/>
      <c r="C4" s="70"/>
      <c r="D4" s="70"/>
      <c r="E4" s="70"/>
      <c r="F4" s="70"/>
      <c r="G4" s="70"/>
      <c r="H4" s="70"/>
      <c r="I4" s="70"/>
      <c r="J4" s="70"/>
    </row>
    <row r="5" spans="1:17" s="61" customFormat="1" x14ac:dyDescent="0.35">
      <c r="A5" s="20" t="s">
        <v>10</v>
      </c>
      <c r="B5" s="20"/>
      <c r="C5" s="21"/>
      <c r="D5" s="21"/>
      <c r="E5" s="21"/>
      <c r="F5" s="21"/>
      <c r="G5" s="21"/>
      <c r="H5" s="21"/>
      <c r="I5" s="21"/>
      <c r="J5" s="21"/>
    </row>
    <row r="6" spans="1:17" s="61" customFormat="1" ht="9.9499999999999993" customHeight="1" x14ac:dyDescent="0.35">
      <c r="A6" s="70"/>
      <c r="B6" s="70"/>
      <c r="C6" s="70"/>
      <c r="D6" s="70"/>
      <c r="E6" s="70"/>
      <c r="F6" s="70"/>
      <c r="G6" s="70"/>
      <c r="H6" s="70"/>
      <c r="I6" s="70"/>
      <c r="J6" s="70"/>
    </row>
    <row r="7" spans="1:17" s="61" customFormat="1" ht="20.100000000000001" customHeight="1" x14ac:dyDescent="0.35">
      <c r="A7" s="70"/>
      <c r="B7" s="24" t="s">
        <v>33</v>
      </c>
      <c r="C7" s="24"/>
      <c r="D7" s="24" t="s">
        <v>36</v>
      </c>
      <c r="E7" s="70"/>
      <c r="F7" s="24" t="s">
        <v>11</v>
      </c>
      <c r="G7" s="70"/>
      <c r="H7" s="70" t="s">
        <v>18</v>
      </c>
      <c r="I7" s="70"/>
      <c r="J7" s="70"/>
    </row>
    <row r="8" spans="1:17" s="61" customFormat="1" ht="9.9499999999999993" customHeight="1" x14ac:dyDescent="0.35">
      <c r="A8" s="70"/>
      <c r="B8" s="70"/>
      <c r="C8" s="70"/>
      <c r="D8" s="70"/>
      <c r="E8" s="70"/>
      <c r="F8" s="70"/>
      <c r="G8" s="70"/>
      <c r="H8" s="70"/>
      <c r="I8" s="70"/>
      <c r="J8" s="70"/>
    </row>
    <row r="9" spans="1:17" s="61" customFormat="1" ht="20.100000000000001" customHeight="1" x14ac:dyDescent="0.35">
      <c r="A9" s="70" t="s">
        <v>31</v>
      </c>
      <c r="B9" s="82">
        <f>'1. Kind und Zusammenfassung'!B11</f>
        <v>0</v>
      </c>
      <c r="C9" s="15"/>
      <c r="D9" s="16"/>
      <c r="E9" s="70"/>
      <c r="F9" s="13">
        <f>B9</f>
        <v>0</v>
      </c>
      <c r="G9" s="70"/>
      <c r="H9" s="38">
        <f>F9</f>
        <v>0</v>
      </c>
      <c r="I9" s="17"/>
      <c r="J9" s="70"/>
      <c r="L9" s="83"/>
      <c r="M9" s="83"/>
      <c r="N9" s="83"/>
      <c r="O9" s="83"/>
      <c r="P9" s="83"/>
      <c r="Q9" s="83"/>
    </row>
    <row r="10" spans="1:17" s="61" customFormat="1" ht="6.95" customHeight="1" x14ac:dyDescent="0.35">
      <c r="A10" s="99" t="s">
        <v>32</v>
      </c>
      <c r="B10" s="18"/>
      <c r="C10" s="17"/>
      <c r="D10" s="18"/>
      <c r="E10" s="17"/>
      <c r="F10" s="18"/>
      <c r="G10" s="17"/>
      <c r="H10" s="19"/>
      <c r="I10" s="17"/>
      <c r="J10" s="102" t="str">
        <f>IF(OR(F11&gt;=119%,F11=0%),"","zu niedriges Pensum kein Anspruch")</f>
        <v/>
      </c>
      <c r="L10" s="83"/>
      <c r="M10" s="83"/>
      <c r="N10" s="83"/>
      <c r="O10" s="83"/>
      <c r="P10" s="83"/>
      <c r="Q10" s="83"/>
    </row>
    <row r="11" spans="1:17" s="61" customFormat="1" ht="20.100000000000001" customHeight="1" x14ac:dyDescent="0.35">
      <c r="A11" s="99"/>
      <c r="B11" s="14">
        <f>'1. Kind und Zusammenfassung'!B13</f>
        <v>0</v>
      </c>
      <c r="C11" s="17"/>
      <c r="D11" s="14">
        <f>'1. Kind und Zusammenfassung'!D13</f>
        <v>0</v>
      </c>
      <c r="E11" s="17"/>
      <c r="F11" s="14">
        <f>B11+D11</f>
        <v>0</v>
      </c>
      <c r="G11" s="17"/>
      <c r="H11" s="38">
        <f>IF(F11=0%,0,F11-100%)</f>
        <v>0</v>
      </c>
      <c r="I11" s="17"/>
      <c r="J11" s="102"/>
      <c r="L11" s="83"/>
      <c r="M11" s="83"/>
      <c r="N11" s="83"/>
      <c r="O11" s="83"/>
      <c r="P11" s="83"/>
      <c r="Q11" s="83"/>
    </row>
    <row r="12" spans="1:17" s="61" customFormat="1" ht="6.95" customHeight="1" x14ac:dyDescent="0.35">
      <c r="A12" s="99"/>
      <c r="B12" s="35"/>
      <c r="C12" s="17"/>
      <c r="D12" s="35"/>
      <c r="E12" s="17"/>
      <c r="F12" s="70"/>
      <c r="G12" s="17"/>
      <c r="H12" s="17"/>
      <c r="I12" s="17"/>
      <c r="J12" s="102"/>
      <c r="L12" s="83"/>
      <c r="M12" s="83"/>
      <c r="N12" s="83"/>
      <c r="O12" s="83"/>
      <c r="P12" s="83"/>
      <c r="Q12" s="83"/>
    </row>
    <row r="13" spans="1:17" s="61" customFormat="1" ht="20.100000000000001" hidden="1" customHeight="1" x14ac:dyDescent="0.35">
      <c r="A13" s="64"/>
      <c r="B13" s="35"/>
      <c r="C13" s="17"/>
      <c r="D13" s="35"/>
      <c r="E13" s="17"/>
      <c r="F13" s="70"/>
      <c r="G13" s="17"/>
      <c r="H13" s="43">
        <f>H9+H11</f>
        <v>0</v>
      </c>
      <c r="I13" s="17"/>
      <c r="J13" s="17"/>
      <c r="L13" s="83"/>
      <c r="M13" s="83"/>
      <c r="N13" s="83"/>
      <c r="O13" s="83"/>
      <c r="P13" s="83"/>
      <c r="Q13" s="83"/>
    </row>
    <row r="14" spans="1:17" s="61" customFormat="1" ht="9.9499999999999993" customHeight="1" x14ac:dyDescent="0.35">
      <c r="A14" s="70"/>
      <c r="B14" s="70"/>
      <c r="C14" s="70"/>
      <c r="D14" s="15"/>
      <c r="E14" s="70"/>
      <c r="F14" s="70"/>
      <c r="G14" s="70"/>
      <c r="H14" s="70"/>
      <c r="I14" s="70"/>
      <c r="J14" s="70"/>
      <c r="L14" s="83"/>
      <c r="M14" s="83"/>
      <c r="N14" s="83"/>
      <c r="O14" s="83"/>
      <c r="P14" s="83"/>
      <c r="Q14" s="83"/>
    </row>
    <row r="15" spans="1:17" s="61" customFormat="1" x14ac:dyDescent="0.35">
      <c r="A15" s="20" t="s">
        <v>0</v>
      </c>
      <c r="B15" s="20"/>
      <c r="C15" s="21"/>
      <c r="D15" s="21"/>
      <c r="E15" s="21"/>
      <c r="F15" s="21"/>
      <c r="G15" s="21"/>
      <c r="H15" s="21"/>
      <c r="I15" s="21"/>
      <c r="J15" s="21"/>
      <c r="L15" s="83"/>
      <c r="M15" s="83"/>
      <c r="N15" s="83"/>
      <c r="O15" s="83"/>
      <c r="P15" s="83"/>
      <c r="Q15" s="83"/>
    </row>
    <row r="16" spans="1:17" s="70" customFormat="1" ht="9.9499999999999993" customHeight="1" x14ac:dyDescent="0.35"/>
    <row r="17" spans="1:17" s="70" customFormat="1" x14ac:dyDescent="0.35">
      <c r="A17" s="22" t="s">
        <v>72</v>
      </c>
      <c r="F17" s="6">
        <f>'1. Kind und Zusammenfassung'!F54</f>
        <v>0</v>
      </c>
      <c r="G17" s="49"/>
      <c r="H17" s="49"/>
      <c r="I17" s="108"/>
      <c r="J17" s="108"/>
    </row>
    <row r="18" spans="1:17" s="70" customFormat="1" ht="9.9499999999999993" customHeight="1" x14ac:dyDescent="0.35">
      <c r="B18" s="22"/>
    </row>
    <row r="19" spans="1:17" s="61" customFormat="1" ht="0.95" customHeight="1" x14ac:dyDescent="0.35">
      <c r="A19" s="70"/>
      <c r="B19" s="70"/>
      <c r="C19" s="70"/>
      <c r="D19" s="15"/>
      <c r="E19" s="70"/>
      <c r="F19" s="70"/>
      <c r="G19" s="70"/>
      <c r="H19" s="70"/>
      <c r="I19" s="70"/>
      <c r="J19" s="70"/>
      <c r="L19" s="83"/>
      <c r="M19" s="83"/>
      <c r="N19" s="83"/>
      <c r="O19" s="83"/>
      <c r="P19" s="83"/>
      <c r="Q19" s="83"/>
    </row>
    <row r="20" spans="1:17" ht="0.95" customHeight="1" x14ac:dyDescent="0.35"/>
    <row r="21" spans="1:17" x14ac:dyDescent="0.35">
      <c r="A21" s="20" t="s">
        <v>37</v>
      </c>
      <c r="B21" s="20"/>
      <c r="C21" s="21"/>
      <c r="D21" s="21"/>
      <c r="E21" s="21"/>
      <c r="F21" s="21"/>
      <c r="G21" s="21"/>
      <c r="H21" s="21"/>
      <c r="I21" s="21"/>
      <c r="J21" s="21"/>
    </row>
    <row r="22" spans="1:17" ht="9.9499999999999993" customHeight="1" x14ac:dyDescent="0.35"/>
    <row r="23" spans="1:17" ht="20.100000000000001" customHeight="1" x14ac:dyDescent="0.35">
      <c r="A23" s="70" t="s">
        <v>13</v>
      </c>
      <c r="B23" s="67"/>
      <c r="D23" s="70" t="s">
        <v>17</v>
      </c>
      <c r="F23" s="103"/>
      <c r="G23" s="103"/>
      <c r="H23" s="103"/>
      <c r="I23" s="103"/>
      <c r="J23" s="103"/>
    </row>
    <row r="24" spans="1:17" ht="9.9499999999999993" customHeight="1" x14ac:dyDescent="0.35"/>
    <row r="25" spans="1:17" ht="20.100000000000001" customHeight="1" x14ac:dyDescent="0.35">
      <c r="A25" s="70" t="s">
        <v>14</v>
      </c>
      <c r="B25" s="5"/>
      <c r="D25" s="70" t="s">
        <v>21</v>
      </c>
      <c r="F25" s="5"/>
    </row>
    <row r="26" spans="1:17" ht="9.9499999999999993" customHeight="1" x14ac:dyDescent="0.35"/>
    <row r="27" spans="1:17" ht="0.95" customHeight="1" x14ac:dyDescent="0.35">
      <c r="A27" s="28"/>
      <c r="B27" s="28"/>
      <c r="C27" s="28"/>
      <c r="D27" s="28"/>
    </row>
    <row r="28" spans="1:17" x14ac:dyDescent="0.35">
      <c r="A28" s="20" t="s">
        <v>25</v>
      </c>
      <c r="B28" s="20"/>
      <c r="C28" s="21"/>
      <c r="D28" s="21"/>
      <c r="E28" s="21"/>
      <c r="F28" s="21"/>
      <c r="G28" s="21"/>
      <c r="H28" s="21"/>
      <c r="I28" s="21"/>
      <c r="J28" s="21"/>
    </row>
    <row r="29" spans="1:17" ht="9.9499999999999993" customHeight="1" x14ac:dyDescent="0.35"/>
    <row r="30" spans="1:17" ht="18" thickBot="1" x14ac:dyDescent="0.4">
      <c r="A30" s="26" t="s">
        <v>2</v>
      </c>
      <c r="B30" s="27"/>
      <c r="C30" s="27"/>
      <c r="D30" s="27"/>
      <c r="E30" s="27"/>
      <c r="F30" s="27"/>
      <c r="G30" s="27"/>
      <c r="H30" s="27"/>
      <c r="I30" s="27"/>
      <c r="J30" s="27"/>
    </row>
    <row r="31" spans="1:17" ht="9.9499999999999993" customHeight="1" x14ac:dyDescent="0.35">
      <c r="A31" s="22"/>
      <c r="Q31" s="83" t="s">
        <v>12</v>
      </c>
    </row>
    <row r="32" spans="1:17" ht="34.5" x14ac:dyDescent="0.35">
      <c r="B32" s="29" t="s">
        <v>34</v>
      </c>
      <c r="C32" s="30"/>
      <c r="D32" s="29" t="s">
        <v>29</v>
      </c>
      <c r="E32" s="30"/>
      <c r="F32" s="29" t="s">
        <v>52</v>
      </c>
      <c r="H32" s="29" t="s">
        <v>1</v>
      </c>
      <c r="J32" s="29" t="s">
        <v>51</v>
      </c>
    </row>
    <row r="33" spans="1:10" ht="17.25" customHeight="1" x14ac:dyDescent="0.35">
      <c r="A33" s="70" t="s">
        <v>27</v>
      </c>
      <c r="B33" s="2"/>
      <c r="D33" s="3"/>
      <c r="F33" s="44" t="str">
        <f>IF(B35&lt;0,0,B35)</f>
        <v/>
      </c>
      <c r="G33" s="31"/>
      <c r="H33" s="4" t="str">
        <f>IF(ISBLANK(D33),"",IF(B33-F35&lt;'Tabelle Betreuungsgutscheine'!D18,'Tabelle Betreuungsgutscheine'!D18,B33-F35))</f>
        <v/>
      </c>
      <c r="I33" s="32"/>
      <c r="J33" s="10" t="str">
        <f>IF(ISBLANK(D33),"",ROUND(J35/5,2)*5)</f>
        <v/>
      </c>
    </row>
    <row r="34" spans="1:10" ht="17.25" customHeight="1" x14ac:dyDescent="0.35">
      <c r="D34" s="15"/>
      <c r="J34" s="25" t="str">
        <f>IF(D33/5*100%&gt;$H$13,"Hinweis: Das maximal unterstützte Pensum liegt bei "&amp;($H$13*100)&amp;"%. Die Kitabetreuung wird an maximal "&amp;($H$13*5)&amp;" Wochentag/en unterstützt.","")</f>
        <v/>
      </c>
    </row>
    <row r="35" spans="1:10" ht="17.25" hidden="1" customHeight="1" x14ac:dyDescent="0.35">
      <c r="B35" s="45" t="str">
        <f>IF(ISBLANK(D33),"",IF(OR(H35&gt;=B33,H35&gt;B33-H33),B33-H33,H35))</f>
        <v/>
      </c>
      <c r="F35" s="36" t="str">
        <f>IF(ISBLANK(D33),"",VLOOKUP($F$17,'Tabelle Betreuungsgutscheine'!A1:I16,4,1))</f>
        <v/>
      </c>
      <c r="H35" s="46" t="str">
        <f>IF(ISBLANK($D$33),"",IF($B$33-'Tabelle Betreuungsgutscheine'!D18&lt;='Tabelle Betreuungsgutscheine'!D18,($B$33-$H$33),$F$35))</f>
        <v/>
      </c>
      <c r="J35" s="33" t="e">
        <f>IF(D33/5*100%&lt;=$H$13,F33*(D33/5*100)*236/(100*12),($H$13*F33*236)/12)</f>
        <v>#VALUE!</v>
      </c>
    </row>
    <row r="36" spans="1:10" ht="17.25" hidden="1" customHeight="1" x14ac:dyDescent="0.35">
      <c r="J36" s="80">
        <f>IF(J33="",0,J33)</f>
        <v>0</v>
      </c>
    </row>
    <row r="37" spans="1:10" ht="17.25" hidden="1" customHeight="1" x14ac:dyDescent="0.35"/>
    <row r="38" spans="1:10" ht="17.25" customHeight="1" x14ac:dyDescent="0.35">
      <c r="A38" s="70" t="s">
        <v>28</v>
      </c>
      <c r="B38" s="2"/>
      <c r="D38" s="3"/>
      <c r="F38" s="44" t="str">
        <f>IF(B40&lt;0,0,B40)</f>
        <v/>
      </c>
      <c r="G38" s="31"/>
      <c r="H38" s="4" t="str">
        <f>IF(ISBLANK(D38),"",IF(B38-F40&lt;'Tabelle Betreuungsgutscheine'!E18,'Tabelle Betreuungsgutscheine'!E18,B38-F40))</f>
        <v/>
      </c>
      <c r="I38" s="32"/>
      <c r="J38" s="10" t="str">
        <f>IF(ISBLANK(D38),"",ROUND(J40/5,2)*5)</f>
        <v/>
      </c>
    </row>
    <row r="39" spans="1:10" ht="17.25" customHeight="1" x14ac:dyDescent="0.35">
      <c r="D39" s="15"/>
      <c r="J39" s="25" t="str">
        <f>IF(D38/5*100%&gt;$H$13,"Hinweis: Das maximal unterstützte Pensum liegt bei "&amp;($H$13*100)&amp;"%. Die Kitabetreuung wird an maximal "&amp;($H$13*5)&amp;" Wochentag/en unterstützt.","")</f>
        <v/>
      </c>
    </row>
    <row r="40" spans="1:10" ht="17.25" hidden="1" customHeight="1" x14ac:dyDescent="0.35">
      <c r="B40" s="45" t="str">
        <f>IF(ISBLANK(D38),"",IF(OR(H40&gt;=B38,H40&gt;B38-H38),B38-H38,H40))</f>
        <v/>
      </c>
      <c r="D40" s="81">
        <f>D33+D38</f>
        <v>0</v>
      </c>
      <c r="F40" s="36" t="str">
        <f>IF(ISBLANK(D38),"",VLOOKUP($F$17,'Tabelle Betreuungsgutscheine'!A1:I16,5,1))</f>
        <v/>
      </c>
      <c r="H40" s="46" t="str">
        <f>IF(ISBLANK($D$38),"",IF($B$38-'Tabelle Betreuungsgutscheine'!E18&lt;='Tabelle Betreuungsgutscheine'!E18,($B$38-$H$38),$F$40))</f>
        <v/>
      </c>
      <c r="J40" s="33" t="e">
        <f>IF(D38/5*100%&lt;=$H$13,F38*(D38/5*100)*236/(100*12),($H$13*F38*236)/12)</f>
        <v>#VALUE!</v>
      </c>
    </row>
    <row r="41" spans="1:10" ht="17.25" hidden="1" customHeight="1" x14ac:dyDescent="0.35">
      <c r="A41" s="17"/>
      <c r="B41" s="17"/>
      <c r="C41" s="17"/>
      <c r="D41" s="17"/>
      <c r="E41" s="17"/>
      <c r="F41" s="37"/>
      <c r="G41" s="17"/>
      <c r="H41" s="47"/>
      <c r="I41" s="17"/>
      <c r="J41" s="80">
        <f>IF(J38="",0,J38)</f>
        <v>0</v>
      </c>
    </row>
    <row r="42" spans="1:10" ht="17.25" customHeight="1" x14ac:dyDescent="0.35">
      <c r="F42" s="70" t="s">
        <v>43</v>
      </c>
    </row>
    <row r="43" spans="1:10" ht="17.25" customHeight="1" x14ac:dyDescent="0.35">
      <c r="D43" s="70" t="s">
        <v>38</v>
      </c>
      <c r="F43" s="50">
        <f>IF(D40&gt;0,'Tabelle Betreuungsgutscheine'!D17,0)</f>
        <v>0</v>
      </c>
      <c r="J43" s="10">
        <f>IF(ISBLANK(D40),0,ROUND(J45/5,2)*5)</f>
        <v>0</v>
      </c>
    </row>
    <row r="44" spans="1:10" ht="17.25" customHeight="1" x14ac:dyDescent="0.35">
      <c r="J44" s="51" t="str">
        <f>IF(D40/5*100%&gt;H13,"Hinweis: Das maximal unterstützte Pensum liegt bei "&amp;(H13*100)&amp;"%. Der Geschwisterbonus wird für maximal "&amp;(H13*5)&amp;" Tage pro Woche ausbezahlt.","")</f>
        <v/>
      </c>
    </row>
    <row r="45" spans="1:10" ht="17.25" hidden="1" customHeight="1" x14ac:dyDescent="0.35">
      <c r="J45" s="33">
        <f>IF(D40/5*100%&lt;=H13,F43*(D40/5*100)*236/(100*12),(H13*F43*236)/12)</f>
        <v>0</v>
      </c>
    </row>
    <row r="46" spans="1:10" ht="17.25" hidden="1" customHeight="1" x14ac:dyDescent="0.35">
      <c r="J46" s="80">
        <f>IF(J43="",0,J43)</f>
        <v>0</v>
      </c>
    </row>
    <row r="47" spans="1:10" ht="17.25" customHeight="1" thickBot="1" x14ac:dyDescent="0.4">
      <c r="A47" s="26" t="s">
        <v>3</v>
      </c>
      <c r="B47" s="27"/>
      <c r="C47" s="27"/>
      <c r="D47" s="27"/>
      <c r="E47" s="27"/>
      <c r="F47" s="27"/>
      <c r="G47" s="27"/>
      <c r="H47" s="27"/>
      <c r="I47" s="27"/>
      <c r="J47" s="27"/>
    </row>
    <row r="48" spans="1:10" ht="9.9499999999999993" customHeight="1" x14ac:dyDescent="0.35"/>
    <row r="49" spans="1:11" ht="34.5" x14ac:dyDescent="0.35">
      <c r="B49" s="29" t="s">
        <v>35</v>
      </c>
      <c r="C49" s="30"/>
      <c r="D49" s="29" t="s">
        <v>16</v>
      </c>
      <c r="E49" s="30"/>
      <c r="F49" s="29" t="s">
        <v>88</v>
      </c>
      <c r="H49" s="29" t="s">
        <v>24</v>
      </c>
      <c r="J49" s="29" t="s">
        <v>51</v>
      </c>
    </row>
    <row r="50" spans="1:11" ht="17.25" customHeight="1" x14ac:dyDescent="0.35">
      <c r="B50" s="2"/>
      <c r="D50" s="3"/>
      <c r="F50" s="44" t="str">
        <f>IF(B52&lt;0,0,B52)</f>
        <v/>
      </c>
      <c r="G50" s="31"/>
      <c r="H50" s="4" t="str">
        <f>IF(ISBLANK(D50),"",IF(B50-F52&lt;='Tabelle Betreuungsgutscheine'!F18,'Tabelle Betreuungsgutscheine'!F18,B50-F52))</f>
        <v/>
      </c>
      <c r="I50" s="31"/>
      <c r="J50" s="10" t="str">
        <f>IF(ISBLANK(D50),"",ROUND(J52/5,2)*5)</f>
        <v/>
      </c>
    </row>
    <row r="51" spans="1:11" ht="17.25" customHeight="1" x14ac:dyDescent="0.35">
      <c r="D51" s="15"/>
      <c r="J51" s="25" t="str">
        <f>IF(D50*100%/50&gt;$H$13,"Hinweis: Das maximal unterstützte Pensum liegt bei "&amp;($H$13*100)&amp;"%. Es werden maximal "&amp;($H$13*200)&amp;" Stunden pro Monat unterstützt.","")</f>
        <v/>
      </c>
    </row>
    <row r="52" spans="1:11" ht="17.25" hidden="1" customHeight="1" x14ac:dyDescent="0.35">
      <c r="B52" s="45" t="str">
        <f>IF(ISBLANK(D50),"",IF(OR(H52&gt;=B50,H52&gt;B50-H50),B50-H50,H52))</f>
        <v/>
      </c>
      <c r="D52" s="15"/>
      <c r="F52" s="36" t="str">
        <f>IF(ISBLANK(D50),"",VLOOKUP($F$17,'Tabelle Betreuungsgutscheine'!A1:I16,6,1))</f>
        <v/>
      </c>
      <c r="H52" s="46" t="str">
        <f>IF(ISBLANK(D50),"",IF(B50-'Tabelle Betreuungsgutscheine'!F18&lt;='Tabelle Betreuungsgutscheine'!F18,(B50-H50),F52))</f>
        <v/>
      </c>
      <c r="J52" s="33" t="e">
        <f>IF(D50*100%/50&lt;=$H$13,F50*D50*48/12,(F50*($H$13*50/100%)*48)/12)</f>
        <v>#VALUE!</v>
      </c>
    </row>
    <row r="53" spans="1:11" s="60" customFormat="1" ht="17.25" hidden="1" customHeight="1" x14ac:dyDescent="0.35">
      <c r="A53" s="49"/>
      <c r="B53" s="49"/>
      <c r="C53" s="55"/>
      <c r="D53" s="49"/>
      <c r="E53" s="53"/>
      <c r="F53" s="49"/>
      <c r="G53" s="56"/>
      <c r="H53" s="49"/>
      <c r="I53" s="54"/>
      <c r="J53" s="80">
        <f>IF(J50="",0,J50)</f>
        <v>0</v>
      </c>
      <c r="K53" s="61"/>
    </row>
    <row r="54" spans="1:11" ht="17.25" customHeight="1" x14ac:dyDescent="0.35">
      <c r="F54" s="70" t="s">
        <v>42</v>
      </c>
    </row>
    <row r="55" spans="1:11" ht="17.25" customHeight="1" x14ac:dyDescent="0.35">
      <c r="D55" s="70" t="s">
        <v>38</v>
      </c>
      <c r="F55" s="50">
        <f>IF(D50&gt;0,'Tabelle Betreuungsgutscheine'!F17,0)</f>
        <v>0</v>
      </c>
      <c r="J55" s="10">
        <f>IF(ISBLANK(D50),0,ROUND(J57/5,2)*5)</f>
        <v>0</v>
      </c>
    </row>
    <row r="56" spans="1:11" ht="17.25" customHeight="1" x14ac:dyDescent="0.35">
      <c r="J56" s="51" t="str">
        <f>IF(D50/5*100%&gt;H13,"Hinweis: Das maximal unterstützte Pensum liegt bei "&amp;(H13*100)&amp;"%. Der Geschwisterbonus wird für maximal "&amp;(H13*50*4)&amp;" Stunden pro Monat ausbezahlt.","")</f>
        <v/>
      </c>
    </row>
    <row r="57" spans="1:11" ht="17.25" hidden="1" customHeight="1" x14ac:dyDescent="0.35">
      <c r="J57" s="33">
        <f>IF(D50*100%/50&lt;=H13,F55*D50*48/12,(F55*(H13*50/100%)*48)/12)</f>
        <v>0</v>
      </c>
    </row>
    <row r="58" spans="1:11" ht="17.25" hidden="1" customHeight="1" x14ac:dyDescent="0.35">
      <c r="J58" s="80">
        <f>IF(J55="",0,J55)</f>
        <v>0</v>
      </c>
    </row>
    <row r="59" spans="1:11" s="17" customFormat="1" ht="17.25" customHeight="1" thickBot="1" x14ac:dyDescent="0.4">
      <c r="A59" s="26" t="s">
        <v>75</v>
      </c>
      <c r="B59" s="27"/>
      <c r="C59" s="27"/>
      <c r="D59" s="27"/>
      <c r="E59" s="27"/>
      <c r="F59" s="27"/>
      <c r="G59" s="27"/>
      <c r="H59" s="27"/>
      <c r="I59" s="27"/>
      <c r="J59" s="27"/>
    </row>
    <row r="60" spans="1:11" s="70" customFormat="1" ht="9.9499999999999993" customHeight="1" x14ac:dyDescent="0.35"/>
    <row r="61" spans="1:11" s="70" customFormat="1" ht="34.5" x14ac:dyDescent="0.35">
      <c r="B61" s="29" t="s">
        <v>76</v>
      </c>
      <c r="C61" s="30"/>
      <c r="D61" s="29" t="s">
        <v>77</v>
      </c>
      <c r="E61" s="30"/>
      <c r="F61" s="29" t="s">
        <v>78</v>
      </c>
      <c r="H61" s="29" t="s">
        <v>79</v>
      </c>
      <c r="J61" s="29" t="s">
        <v>80</v>
      </c>
      <c r="K61" s="77"/>
    </row>
    <row r="62" spans="1:11" s="70" customFormat="1" ht="17.25" customHeight="1" x14ac:dyDescent="0.35">
      <c r="A62" s="70" t="s">
        <v>81</v>
      </c>
      <c r="B62" s="2"/>
      <c r="D62" s="78"/>
      <c r="F62" s="44" t="str">
        <f>IF(B64&lt;0,0,B64)</f>
        <v/>
      </c>
      <c r="G62" s="31"/>
      <c r="H62" s="4" t="str">
        <f>IF(ISBLANK(D62),"",IF(B62-F64&lt;=8,8,B62-F64))</f>
        <v/>
      </c>
      <c r="J62" s="10" t="str">
        <f>IF(ISBLANK(D62),"",ROUND(J64/5,2)*5)</f>
        <v/>
      </c>
    </row>
    <row r="63" spans="1:11" s="70" customFormat="1" ht="17.25" customHeight="1" x14ac:dyDescent="0.35">
      <c r="D63" s="15"/>
      <c r="J63" s="25" t="str">
        <f>IF(D62/5*100%&gt;H13,"Hinweis: Das maximal unterstützte Pensum liegt bei "&amp;(H13*100)&amp;"%. Die Tagesstrukturen werden an maximal "&amp;(H13*5)&amp;" Wochentag/en unterstützt.","")</f>
        <v/>
      </c>
    </row>
    <row r="64" spans="1:11" s="70" customFormat="1" ht="17.25" hidden="1" customHeight="1" x14ac:dyDescent="0.35">
      <c r="B64" s="45" t="str">
        <f>IF(ISBLANK(D62),"",IF(OR(H64&gt;=B62,H64&gt;B62-H62),B62-H62,H64))</f>
        <v/>
      </c>
      <c r="D64" s="15"/>
      <c r="F64" s="36" t="str">
        <f>IF(ISBLANK(D62),"",VLOOKUP($F$17,'Tabelle Betreuungsgutscheine'!A1:I16,7,1))</f>
        <v/>
      </c>
      <c r="H64" s="46" t="str">
        <f>IF(ISBLANK(D62),"",IF(B62-'Tabelle Betreuungsgutscheine'!G18&lt;='Tabelle Betreuungsgutscheine'!G18,(B62-H62),F64))</f>
        <v/>
      </c>
      <c r="J64" s="33" t="e">
        <f>IF(D62/5*100%&lt;=H13,F62*(D62/5*100)*190/(100*12),(H13*F62*190)/12)</f>
        <v>#VALUE!</v>
      </c>
    </row>
    <row r="65" spans="1:10" s="17" customFormat="1" ht="17.25" hidden="1" customHeight="1" x14ac:dyDescent="0.35">
      <c r="F65" s="37"/>
      <c r="H65" s="47"/>
      <c r="J65" s="79">
        <f>IF(J62="",0,J62)</f>
        <v>0</v>
      </c>
    </row>
    <row r="66" spans="1:10" ht="17.25" customHeight="1" x14ac:dyDescent="0.35">
      <c r="F66" s="70" t="s">
        <v>90</v>
      </c>
    </row>
    <row r="67" spans="1:10" ht="17.25" customHeight="1" x14ac:dyDescent="0.35">
      <c r="D67" s="70" t="s">
        <v>38</v>
      </c>
      <c r="F67" s="50">
        <f>IF(D62&gt;0,'Tabelle Betreuungsgutscheine'!G17,0)</f>
        <v>0</v>
      </c>
      <c r="J67" s="10">
        <f>IF(ISBLANK(D62),0,ROUND(J69/5,2)*5)</f>
        <v>0</v>
      </c>
    </row>
    <row r="68" spans="1:10" ht="17.25" customHeight="1" x14ac:dyDescent="0.35">
      <c r="J68" s="51" t="str">
        <f>IF(D62/5*100%&gt;H13,"Hinweis: Das maximal unterstützte Pensum liegt bei "&amp;(H13*100)&amp;"%. Der Geschwisterbonus wird für maximal "&amp;(H13*50*4)&amp;" Stunden pro Monat ausbezahlt.","")</f>
        <v/>
      </c>
    </row>
    <row r="69" spans="1:10" ht="17.25" hidden="1" customHeight="1" x14ac:dyDescent="0.35">
      <c r="J69" s="33">
        <f>IF(D62/5*100%&lt;=H13,F67*(D62/5*100)*190/(100*12),(H13*F67*190)/12)</f>
        <v>0</v>
      </c>
    </row>
    <row r="70" spans="1:10" ht="17.25" hidden="1" customHeight="1" x14ac:dyDescent="0.35">
      <c r="J70" s="80">
        <f>IF(J67="",0,J67)</f>
        <v>0</v>
      </c>
    </row>
    <row r="71" spans="1:10" s="70" customFormat="1" ht="17.25" hidden="1" customHeight="1" x14ac:dyDescent="0.35">
      <c r="D71" s="15"/>
      <c r="J71" s="25"/>
    </row>
    <row r="72" spans="1:10" s="70" customFormat="1" ht="17.25" customHeight="1" x14ac:dyDescent="0.35">
      <c r="A72" s="70" t="s">
        <v>82</v>
      </c>
      <c r="B72" s="2"/>
      <c r="D72" s="78"/>
      <c r="F72" s="44" t="str">
        <f>IF(B74&lt;0,0,B74)</f>
        <v/>
      </c>
      <c r="G72" s="31"/>
      <c r="H72" s="4" t="str">
        <f>IF(ISBLANK(D72),"",IF(B72-F74&lt;=8,8,B72-F74))</f>
        <v/>
      </c>
      <c r="J72" s="10" t="str">
        <f>IF(ISBLANK(D72),"",ROUND(J74/5,2)*5)</f>
        <v/>
      </c>
    </row>
    <row r="73" spans="1:10" s="70" customFormat="1" ht="17.25" customHeight="1" x14ac:dyDescent="0.35">
      <c r="D73" s="15"/>
      <c r="F73" s="17"/>
      <c r="G73" s="17"/>
      <c r="H73" s="17"/>
      <c r="I73" s="17"/>
      <c r="J73" s="25" t="str">
        <f>IF(D72/5*100%&gt;H13,"Hinweis: Das maximal unterstützte Pensum liegt bei "&amp;(H13*100)&amp;"%. Die Tagesstrukturen werden an maximal "&amp;(H13*5)&amp;" Wochentag/en unterstützt.","")</f>
        <v/>
      </c>
    </row>
    <row r="74" spans="1:10" s="70" customFormat="1" ht="17.25" hidden="1" customHeight="1" x14ac:dyDescent="0.35">
      <c r="B74" s="45" t="str">
        <f>IF(ISBLANK(D72),"",IF(OR(H74&gt;=B72,H74&gt;B72-H72),B72-H72,H74))</f>
        <v/>
      </c>
      <c r="D74" s="15"/>
      <c r="F74" s="36" t="str">
        <f>IF(ISBLANK(D72),"",VLOOKUP($F$17,'Tabelle Betreuungsgutscheine'!A1:I16,8,1))</f>
        <v/>
      </c>
      <c r="H74" s="46" t="str">
        <f>IF(ISBLANK(D72),"",IF(B72-'Tabelle Betreuungsgutscheine'!H18&lt;='Tabelle Betreuungsgutscheine'!H18,(B72-H72),F74))</f>
        <v/>
      </c>
      <c r="J74" s="33" t="e">
        <f>IF(D72/5*100%&lt;=H13,F72*(D72/5*100)*190/(100*12),(H13*F72*190)/12)</f>
        <v>#VALUE!</v>
      </c>
    </row>
    <row r="75" spans="1:10" s="17" customFormat="1" ht="17.25" hidden="1" customHeight="1" x14ac:dyDescent="0.35">
      <c r="F75" s="37"/>
      <c r="H75" s="47"/>
      <c r="J75" s="79">
        <f>IF(J72="",0,J72)</f>
        <v>0</v>
      </c>
    </row>
    <row r="76" spans="1:10" ht="17.25" customHeight="1" x14ac:dyDescent="0.35">
      <c r="F76" s="70" t="s">
        <v>90</v>
      </c>
    </row>
    <row r="77" spans="1:10" ht="17.25" customHeight="1" x14ac:dyDescent="0.35">
      <c r="D77" s="70" t="s">
        <v>38</v>
      </c>
      <c r="F77" s="50">
        <f>IF(D72&gt;0,'Tabelle Betreuungsgutscheine'!H17,0)</f>
        <v>0</v>
      </c>
      <c r="J77" s="10">
        <f>IF(ISBLANK(D72),0,ROUND(J79/5,2)*5)</f>
        <v>0</v>
      </c>
    </row>
    <row r="78" spans="1:10" ht="17.25" customHeight="1" x14ac:dyDescent="0.35">
      <c r="J78" s="51" t="str">
        <f>IF(D72/5*100%&gt;H13,"Hinweis: Das maximal unterstützte Pensum liegt bei "&amp;(H13*100)&amp;"%. Der Geschwisterbonus wird für maximal "&amp;(H13*50*4)&amp;" Stunden pro Monat ausbezahlt.","")</f>
        <v/>
      </c>
    </row>
    <row r="79" spans="1:10" ht="17.25" hidden="1" customHeight="1" x14ac:dyDescent="0.35">
      <c r="J79" s="33">
        <f>IF(D72/5*100%&lt;=H13,F77*(D72/5*100)*190/(100*12),(H13*F77*190)/12)</f>
        <v>0</v>
      </c>
    </row>
    <row r="80" spans="1:10" ht="17.25" hidden="1" customHeight="1" x14ac:dyDescent="0.35">
      <c r="J80" s="80">
        <f>IF(J77="",0,J77)</f>
        <v>0</v>
      </c>
    </row>
    <row r="81" spans="1:10" s="70" customFormat="1" ht="17.25" hidden="1" customHeight="1" x14ac:dyDescent="0.35">
      <c r="D81" s="15"/>
      <c r="J81" s="25"/>
    </row>
    <row r="82" spans="1:10" s="70" customFormat="1" ht="17.25" customHeight="1" x14ac:dyDescent="0.35">
      <c r="A82" s="70" t="s">
        <v>83</v>
      </c>
      <c r="B82" s="2"/>
      <c r="D82" s="78"/>
      <c r="F82" s="44" t="str">
        <f>IF(B84&lt;0,0,B84)</f>
        <v/>
      </c>
      <c r="G82" s="31"/>
      <c r="H82" s="4" t="str">
        <f>IF(ISBLANK(D82),"",IF(B82-F84&lt;=4,4,B82-F84))</f>
        <v/>
      </c>
      <c r="J82" s="10" t="str">
        <f>IF(ISBLANK(D82),"",ROUND(J84/5,2)*5)</f>
        <v/>
      </c>
    </row>
    <row r="83" spans="1:10" s="70" customFormat="1" ht="17.25" customHeight="1" x14ac:dyDescent="0.35">
      <c r="D83" s="15"/>
      <c r="F83" s="17"/>
      <c r="G83" s="17"/>
      <c r="H83" s="17"/>
      <c r="I83" s="17"/>
      <c r="J83" s="25" t="str">
        <f>IF(D82/5*100%&gt;H13,"Hinweis: Das maximal unterstützte Pensum liegt bei "&amp;(H13*100)&amp;"%. Die Tagesstrukturen werden an maximal "&amp;(H13*5)&amp;" Wochentag/en unterstützt.","")</f>
        <v/>
      </c>
    </row>
    <row r="84" spans="1:10" s="70" customFormat="1" ht="17.25" hidden="1" customHeight="1" x14ac:dyDescent="0.35">
      <c r="B84" s="45" t="str">
        <f>IF(ISBLANK(D82),"",IF(OR(H84&gt;=B82,H84&gt;B82-H82),B82-H82,H84))</f>
        <v/>
      </c>
      <c r="D84" s="15"/>
      <c r="F84" s="36" t="str">
        <f>IF(ISBLANK(D82),"",VLOOKUP($F$17,'Tabelle Betreuungsgutscheine'!A1:I17,9,1))</f>
        <v/>
      </c>
      <c r="H84" s="46" t="str">
        <f>IF(ISBLANK(D82),"",IF(B82-'Tabelle Betreuungsgutscheine'!I18&lt;='Tabelle Betreuungsgutscheine'!I18,(B82-H82),F84))</f>
        <v/>
      </c>
      <c r="J84" s="33" t="e">
        <f>IF(D82/5*100%&lt;=H13,F82*(D82/5*100)*190/(100*12),(H13*F82*190)/12)</f>
        <v>#VALUE!</v>
      </c>
    </row>
    <row r="85" spans="1:10" s="17" customFormat="1" ht="17.25" hidden="1" customHeight="1" x14ac:dyDescent="0.35">
      <c r="F85" s="37"/>
      <c r="H85" s="47"/>
      <c r="J85" s="79">
        <f>IF(J82="",0,J82)</f>
        <v>0</v>
      </c>
    </row>
    <row r="86" spans="1:10" ht="17.25" customHeight="1" x14ac:dyDescent="0.35">
      <c r="F86" s="70" t="s">
        <v>90</v>
      </c>
    </row>
    <row r="87" spans="1:10" ht="17.25" customHeight="1" x14ac:dyDescent="0.35">
      <c r="D87" s="70" t="s">
        <v>38</v>
      </c>
      <c r="F87" s="50">
        <f>IF(D82&gt;0,'Tabelle Betreuungsgutscheine'!I17,0)</f>
        <v>0</v>
      </c>
      <c r="J87" s="10">
        <f>IF(ISBLANK(D82),0,ROUND(J89/5,2)*5)</f>
        <v>0</v>
      </c>
    </row>
    <row r="88" spans="1:10" ht="17.25" hidden="1" customHeight="1" x14ac:dyDescent="0.35">
      <c r="J88" s="51" t="str">
        <f>IF(D82/5*100%&gt;H13,"Hinweis: Das maximal unterstützte Pensum liegt bei "&amp;(H13*100)&amp;"%. Der Geschwisterbonus wird für maximal "&amp;(H13*50*4)&amp;" Stunden pro Monat ausbezahlt.","")</f>
        <v/>
      </c>
    </row>
    <row r="89" spans="1:10" ht="17.25" hidden="1" customHeight="1" x14ac:dyDescent="0.35">
      <c r="J89" s="33">
        <f>IF(D82/5*100%&lt;=H13,F87*(D82/5*100)*190/(100*12),(H13*F87*190)/12)</f>
        <v>0</v>
      </c>
    </row>
    <row r="90" spans="1:10" ht="17.25" hidden="1" customHeight="1" x14ac:dyDescent="0.35">
      <c r="J90" s="80">
        <f>IF(J87="",0,J87)</f>
        <v>0</v>
      </c>
    </row>
    <row r="91" spans="1:10" ht="17.25" hidden="1" customHeight="1" x14ac:dyDescent="0.35"/>
    <row r="92" spans="1:10" x14ac:dyDescent="0.35"/>
    <row r="93" spans="1:10" x14ac:dyDescent="0.35"/>
    <row r="94" spans="1:10" x14ac:dyDescent="0.35"/>
    <row r="95" spans="1:10" x14ac:dyDescent="0.35"/>
    <row r="96" spans="1:10" x14ac:dyDescent="0.35"/>
    <row r="97" x14ac:dyDescent="0.35"/>
    <row r="98" x14ac:dyDescent="0.35"/>
    <row r="99" x14ac:dyDescent="0.35"/>
    <row r="100" x14ac:dyDescent="0.35"/>
  </sheetData>
  <sheetProtection password="FE71" sheet="1" objects="1" scenarios="1"/>
  <mergeCells count="4">
    <mergeCell ref="I17:J17"/>
    <mergeCell ref="F23:J23"/>
    <mergeCell ref="A10:A12"/>
    <mergeCell ref="J10:J12"/>
  </mergeCells>
  <conditionalFormatting sqref="I51:J51 I34:J34 G40:G41 G39:J39 I40:I41">
    <cfRule type="expression" dxfId="45" priority="28">
      <formula>IF(G34&lt;&gt;"",1,0)</formula>
    </cfRule>
  </conditionalFormatting>
  <conditionalFormatting sqref="A30:A31 A27">
    <cfRule type="expression" dxfId="44" priority="29">
      <formula>IF(#REF!&lt;&gt;"",1,0)</formula>
    </cfRule>
  </conditionalFormatting>
  <conditionalFormatting sqref="I35">
    <cfRule type="expression" dxfId="43" priority="26">
      <formula>IF(I35&lt;&gt;"",1,0)</formula>
    </cfRule>
  </conditionalFormatting>
  <conditionalFormatting sqref="I52">
    <cfRule type="expression" dxfId="42" priority="25">
      <formula>IF(I52&lt;&gt;"",1,0)</formula>
    </cfRule>
  </conditionalFormatting>
  <conditionalFormatting sqref="H9">
    <cfRule type="cellIs" dxfId="41" priority="24" operator="equal">
      <formula>"kein Anspruch - zu niedriges Pensum"</formula>
    </cfRule>
  </conditionalFormatting>
  <conditionalFormatting sqref="H11">
    <cfRule type="cellIs" dxfId="40" priority="23" operator="equal">
      <formula>"kein Anspruch - zu niedriges Pensum"</formula>
    </cfRule>
  </conditionalFormatting>
  <conditionalFormatting sqref="J10">
    <cfRule type="expression" dxfId="39" priority="22">
      <formula>IF($J$10&lt;&gt;"",1,0)</formula>
    </cfRule>
  </conditionalFormatting>
  <conditionalFormatting sqref="G35 G34:H34">
    <cfRule type="expression" dxfId="38" priority="20">
      <formula>IF(G34&lt;&gt;"",1,0)</formula>
    </cfRule>
  </conditionalFormatting>
  <conditionalFormatting sqref="G52 G51:H51">
    <cfRule type="expression" dxfId="37" priority="19">
      <formula>IF(G51&lt;&gt;"",1,0)</formula>
    </cfRule>
  </conditionalFormatting>
  <conditionalFormatting sqref="F53 H53">
    <cfRule type="expression" dxfId="36" priority="18">
      <formula>IF(F53&lt;&gt;"",1,0)</formula>
    </cfRule>
  </conditionalFormatting>
  <conditionalFormatting sqref="G63:J63 G73:J73">
    <cfRule type="expression" dxfId="35" priority="14">
      <formula>IF(G63&lt;&gt;"",1,0)</formula>
    </cfRule>
  </conditionalFormatting>
  <conditionalFormatting sqref="I64">
    <cfRule type="expression" dxfId="34" priority="13">
      <formula>IF(I64&lt;&gt;"",1,0)</formula>
    </cfRule>
  </conditionalFormatting>
  <conditionalFormatting sqref="I74">
    <cfRule type="expression" dxfId="33" priority="12">
      <formula>IF(I74&lt;&gt;"",1,0)</formula>
    </cfRule>
  </conditionalFormatting>
  <conditionalFormatting sqref="G83:I83">
    <cfRule type="expression" dxfId="32" priority="11">
      <formula>IF(G83&lt;&gt;"",1,0)</formula>
    </cfRule>
  </conditionalFormatting>
  <conditionalFormatting sqref="J83">
    <cfRule type="expression" dxfId="31" priority="10">
      <formula>IF(J83&lt;&gt;"",1,0)</formula>
    </cfRule>
  </conditionalFormatting>
  <conditionalFormatting sqref="I84">
    <cfRule type="expression" dxfId="30" priority="9">
      <formula>IF(I84&lt;&gt;"",1,0)</formula>
    </cfRule>
  </conditionalFormatting>
  <conditionalFormatting sqref="G71:J71">
    <cfRule type="expression" dxfId="29" priority="8">
      <formula>IF(G71&lt;&gt;"",1,0)</formula>
    </cfRule>
  </conditionalFormatting>
  <conditionalFormatting sqref="G81:J81">
    <cfRule type="expression" dxfId="28" priority="7">
      <formula>IF(G81&lt;&gt;"",1,0)</formula>
    </cfRule>
  </conditionalFormatting>
  <conditionalFormatting sqref="J44">
    <cfRule type="expression" dxfId="27" priority="6">
      <formula>IF(J44&lt;&gt;"",1,0)</formula>
    </cfRule>
  </conditionalFormatting>
  <conditionalFormatting sqref="J56">
    <cfRule type="expression" dxfId="26" priority="4">
      <formula>IF(J56&lt;&gt;"",1,0)</formula>
    </cfRule>
  </conditionalFormatting>
  <conditionalFormatting sqref="J68">
    <cfRule type="expression" dxfId="25" priority="3">
      <formula>IF(J68&lt;&gt;"",1,0)</formula>
    </cfRule>
  </conditionalFormatting>
  <conditionalFormatting sqref="J78">
    <cfRule type="expression" dxfId="24" priority="2">
      <formula>IF(J78&lt;&gt;"",1,0)</formula>
    </cfRule>
  </conditionalFormatting>
  <conditionalFormatting sqref="J88">
    <cfRule type="expression" dxfId="23" priority="1">
      <formula>IF(J88&lt;&gt;"",1,0)</formula>
    </cfRule>
  </conditionalFormatting>
  <dataValidations count="12">
    <dataValidation type="decimal" allowBlank="1" showInputMessage="1" showErrorMessage="1" sqref="B82 B62 B72">
      <formula1>0</formula1>
      <formula2>200</formula2>
    </dataValidation>
    <dataValidation type="whole" allowBlank="1" showInputMessage="1" showErrorMessage="1" errorTitle="Ungültige Eingabe" error="Das maximale Betreuungsvolumen beträgt 5 Module pro Woche." sqref="D82">
      <formula1>0</formula1>
      <formula2>5</formula2>
    </dataValidation>
    <dataValidation type="decimal" allowBlank="1" showInputMessage="1" showErrorMessage="1" errorTitle="Ungültige Eingabe" error="Das maximale Betreuungsvolumen beträgt 5 Module pro Woche." sqref="D62 D72">
      <formula1>0</formula1>
      <formula2>5</formula2>
    </dataValidation>
    <dataValidation type="decimal" allowBlank="1" showInputMessage="1" showErrorMessage="1" errorTitle="Ungültige Eingabe" error="Das maximale Pensum pro Person liegt bei 100%." sqref="B9 B11 D11">
      <formula1>0</formula1>
      <formula2>1</formula2>
    </dataValidation>
    <dataValidation type="decimal" allowBlank="1" showInputMessage="1" showErrorMessage="1" errorTitle="Ungültige Eingabe" error="Bitte nur ganze Zahlen eingeben." sqref="B33 B38">
      <formula1>0</formula1>
      <formula2>300</formula2>
    </dataValidation>
    <dataValidation type="decimal" allowBlank="1" showInputMessage="1" showErrorMessage="1" errorTitle="Ungültige Eingabe" error="Bitte nur ganze Zahlen eingeben." sqref="B50">
      <formula1>0</formula1>
      <formula2>999999999</formula2>
    </dataValidation>
    <dataValidation type="decimal" allowBlank="1" showInputMessage="1" showErrorMessage="1" errorTitle="Ungültige Eingabe" error="Das maximale Betreuungsvolumen beträgt 5 Tage pro Woche." sqref="D38 D33">
      <formula1>0</formula1>
      <formula2>5</formula2>
    </dataValidation>
    <dataValidation type="decimal" allowBlank="1" showInputMessage="1" showErrorMessage="1" errorTitle="Ungültige Eingabe" error="Das maximale Betreuungsvolumen beträgt 50 Stunden pro Woche." sqref="D50">
      <formula1>0</formula1>
      <formula2>50</formula2>
    </dataValidation>
    <dataValidation type="decimal" allowBlank="1" showInputMessage="1" showErrorMessage="1" sqref="F10:F11 B10 D9:D10">
      <formula1>0</formula1>
      <formula2>1</formula2>
    </dataValidation>
    <dataValidation type="date" allowBlank="1" showInputMessage="1" showErrorMessage="1" errorTitle="Ungültige Eingabe" error="Bitte Datum eingeben." sqref="B25">
      <formula1>32143</formula1>
      <formula2>47484</formula2>
    </dataValidation>
    <dataValidation type="date" allowBlank="1" showInputMessage="1" showErrorMessage="1" sqref="F25">
      <formula1>42736</formula1>
      <formula2>47484</formula2>
    </dataValidation>
    <dataValidation allowBlank="1" showInputMessage="1" showErrorMessage="1" errorTitle="Ungültige Eingabe" error="Bitte nur ganze Zahlen eingeben." sqref="B23"/>
  </dataValidations>
  <pageMargins left="0.78740157480314965" right="0.39370078740157483" top="0.484375" bottom="0.59055118110236227" header="0.15748031496062992" footer="0.15748031496062992"/>
  <pageSetup paperSize="9" scale="55" fitToHeight="0" orientation="portrait" r:id="rId1"/>
  <headerFooter>
    <oddHeader>&amp;R&amp;"Gill Sans MT,Standard"Copyright: Büro Communis GmbH, Luzern (2018)</oddHeader>
    <oddFooter>&amp;L&amp;"Gill Sans MT,Standard"&amp;9&amp;F&amp;R&amp;"Gill Sans MT,Standard"&amp;9Seite &amp;P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00"/>
  <sheetViews>
    <sheetView showGridLines="0" view="pageLayout" zoomScale="90" zoomScaleNormal="80" zoomScaleSheetLayoutView="83" zoomScalePageLayoutView="90" workbookViewId="0">
      <selection activeCell="B10" sqref="B10"/>
    </sheetView>
  </sheetViews>
  <sheetFormatPr baseColWidth="10" defaultColWidth="0" defaultRowHeight="17.25" zeroHeight="1" x14ac:dyDescent="0.35"/>
  <cols>
    <col min="1" max="1" width="35.5703125" style="70" customWidth="1"/>
    <col min="2" max="2" width="23.5703125" style="70" customWidth="1"/>
    <col min="3" max="3" width="3.5703125" style="70" customWidth="1"/>
    <col min="4" max="4" width="23.5703125" style="70" customWidth="1"/>
    <col min="5" max="5" width="3.5703125" style="70" customWidth="1"/>
    <col min="6" max="6" width="23.5703125" style="70" customWidth="1"/>
    <col min="7" max="7" width="3.5703125" style="70" customWidth="1"/>
    <col min="8" max="8" width="23.5703125" style="70" customWidth="1"/>
    <col min="9" max="9" width="3.5703125" style="70" customWidth="1"/>
    <col min="10" max="10" width="23.5703125" style="70" customWidth="1"/>
    <col min="11" max="11" width="0" style="61" hidden="1" customWidth="1"/>
    <col min="12" max="17" width="0" style="83" hidden="1" customWidth="1"/>
    <col min="18" max="16384" width="10.85546875" style="83" hidden="1"/>
  </cols>
  <sheetData>
    <row r="1" spans="1:17" ht="72.75" customHeight="1" x14ac:dyDescent="0.35">
      <c r="A1" s="93"/>
      <c r="B1" s="86"/>
      <c r="C1" s="86"/>
      <c r="D1" s="86"/>
      <c r="E1" s="86"/>
      <c r="F1" s="86"/>
      <c r="G1" s="86"/>
      <c r="H1" s="86"/>
      <c r="I1" s="86"/>
      <c r="J1" s="86"/>
    </row>
    <row r="2" spans="1:17" s="61" customFormat="1" ht="21.75" x14ac:dyDescent="0.45">
      <c r="A2" s="57" t="s">
        <v>93</v>
      </c>
      <c r="B2" s="40"/>
      <c r="C2" s="70"/>
      <c r="D2" s="70"/>
      <c r="E2" s="70"/>
      <c r="F2" s="70"/>
      <c r="G2" s="70"/>
      <c r="H2" s="41"/>
      <c r="I2" s="25" t="s">
        <v>20</v>
      </c>
      <c r="J2" s="41">
        <f ca="1">TODAY()</f>
        <v>43210</v>
      </c>
    </row>
    <row r="3" spans="1:17" s="61" customFormat="1" ht="9" customHeight="1" x14ac:dyDescent="0.35">
      <c r="A3" s="70"/>
      <c r="B3" s="42"/>
      <c r="C3" s="70"/>
      <c r="D3" s="70"/>
      <c r="E3" s="70"/>
      <c r="F3" s="70"/>
      <c r="G3" s="70"/>
      <c r="H3" s="70"/>
      <c r="I3" s="70"/>
      <c r="J3" s="70"/>
    </row>
    <row r="4" spans="1:17" s="61" customFormat="1" x14ac:dyDescent="0.35">
      <c r="A4" s="20" t="s">
        <v>10</v>
      </c>
      <c r="B4" s="20"/>
      <c r="C4" s="21"/>
      <c r="D4" s="21"/>
      <c r="E4" s="21"/>
      <c r="F4" s="21"/>
      <c r="G4" s="21"/>
      <c r="H4" s="21"/>
      <c r="I4" s="21"/>
      <c r="J4" s="21"/>
    </row>
    <row r="5" spans="1:17" s="61" customFormat="1" ht="9.9499999999999993" customHeight="1" x14ac:dyDescent="0.35">
      <c r="A5" s="70"/>
      <c r="B5" s="70"/>
      <c r="C5" s="70"/>
      <c r="D5" s="70"/>
      <c r="E5" s="70"/>
      <c r="F5" s="70"/>
      <c r="G5" s="70"/>
      <c r="H5" s="70"/>
      <c r="I5" s="70"/>
      <c r="J5" s="70"/>
    </row>
    <row r="6" spans="1:17" s="61" customFormat="1" ht="20.100000000000001" customHeight="1" x14ac:dyDescent="0.35">
      <c r="A6" s="70"/>
      <c r="B6" s="24" t="s">
        <v>33</v>
      </c>
      <c r="C6" s="24"/>
      <c r="D6" s="24" t="s">
        <v>36</v>
      </c>
      <c r="E6" s="70"/>
      <c r="F6" s="24" t="s">
        <v>11</v>
      </c>
      <c r="G6" s="70"/>
      <c r="H6" s="70" t="s">
        <v>18</v>
      </c>
      <c r="I6" s="70"/>
      <c r="J6" s="70"/>
    </row>
    <row r="7" spans="1:17" s="61" customFormat="1" ht="9.9499999999999993" customHeight="1" x14ac:dyDescent="0.35">
      <c r="A7" s="70"/>
      <c r="B7" s="70"/>
      <c r="C7" s="70"/>
      <c r="D7" s="70"/>
      <c r="E7" s="70"/>
      <c r="F7" s="70"/>
      <c r="G7" s="70"/>
      <c r="H7" s="70"/>
      <c r="I7" s="70"/>
      <c r="J7" s="70"/>
    </row>
    <row r="8" spans="1:17" s="61" customFormat="1" ht="20.100000000000001" customHeight="1" x14ac:dyDescent="0.35">
      <c r="A8" s="70" t="s">
        <v>31</v>
      </c>
      <c r="B8" s="82">
        <f>'1. Kind und Zusammenfassung'!B11</f>
        <v>0</v>
      </c>
      <c r="C8" s="15"/>
      <c r="D8" s="16"/>
      <c r="E8" s="70"/>
      <c r="F8" s="13">
        <f>B8</f>
        <v>0</v>
      </c>
      <c r="G8" s="70"/>
      <c r="H8" s="38">
        <f>F8</f>
        <v>0</v>
      </c>
      <c r="I8" s="17"/>
      <c r="J8" s="70"/>
      <c r="L8" s="83"/>
      <c r="M8" s="83"/>
      <c r="N8" s="83"/>
      <c r="O8" s="83"/>
      <c r="P8" s="83"/>
      <c r="Q8" s="83"/>
    </row>
    <row r="9" spans="1:17" s="61" customFormat="1" ht="6.95" customHeight="1" x14ac:dyDescent="0.35">
      <c r="A9" s="99" t="s">
        <v>32</v>
      </c>
      <c r="B9" s="18"/>
      <c r="C9" s="17"/>
      <c r="D9" s="18"/>
      <c r="E9" s="17"/>
      <c r="F9" s="18"/>
      <c r="G9" s="17"/>
      <c r="H9" s="19"/>
      <c r="I9" s="17"/>
      <c r="J9" s="102" t="str">
        <f>IF(OR(F10&gt;=119%,F10=0%),"","zu niedriges Pensum kein Anspruch")</f>
        <v/>
      </c>
      <c r="L9" s="83"/>
      <c r="M9" s="83"/>
      <c r="N9" s="83"/>
      <c r="O9" s="83"/>
      <c r="P9" s="83"/>
      <c r="Q9" s="83"/>
    </row>
    <row r="10" spans="1:17" s="61" customFormat="1" ht="20.100000000000001" customHeight="1" x14ac:dyDescent="0.35">
      <c r="A10" s="99"/>
      <c r="B10" s="14">
        <f>'1. Kind und Zusammenfassung'!B13</f>
        <v>0</v>
      </c>
      <c r="C10" s="17"/>
      <c r="D10" s="14">
        <f>'1. Kind und Zusammenfassung'!D13</f>
        <v>0</v>
      </c>
      <c r="E10" s="17"/>
      <c r="F10" s="14">
        <f>B10+D10</f>
        <v>0</v>
      </c>
      <c r="G10" s="17"/>
      <c r="H10" s="38">
        <f>IF(F10=0%,0,F10-100%)</f>
        <v>0</v>
      </c>
      <c r="I10" s="17"/>
      <c r="J10" s="102"/>
      <c r="L10" s="83"/>
      <c r="M10" s="83"/>
      <c r="N10" s="83"/>
      <c r="O10" s="83"/>
      <c r="P10" s="83"/>
      <c r="Q10" s="83"/>
    </row>
    <row r="11" spans="1:17" s="61" customFormat="1" ht="6.95" customHeight="1" x14ac:dyDescent="0.35">
      <c r="A11" s="99"/>
      <c r="B11" s="35"/>
      <c r="C11" s="17"/>
      <c r="D11" s="35"/>
      <c r="E11" s="17"/>
      <c r="F11" s="70"/>
      <c r="G11" s="17"/>
      <c r="H11" s="17"/>
      <c r="I11" s="17"/>
      <c r="J11" s="102"/>
      <c r="L11" s="83"/>
      <c r="M11" s="83"/>
      <c r="N11" s="83"/>
      <c r="O11" s="83"/>
      <c r="P11" s="83"/>
      <c r="Q11" s="83"/>
    </row>
    <row r="12" spans="1:17" s="61" customFormat="1" ht="20.100000000000001" hidden="1" customHeight="1" x14ac:dyDescent="0.35">
      <c r="A12" s="64"/>
      <c r="B12" s="35"/>
      <c r="C12" s="17"/>
      <c r="D12" s="35"/>
      <c r="E12" s="17"/>
      <c r="F12" s="70"/>
      <c r="G12" s="17"/>
      <c r="H12" s="43">
        <f>H8+H10</f>
        <v>0</v>
      </c>
      <c r="I12" s="17"/>
      <c r="J12" s="17"/>
      <c r="L12" s="83"/>
      <c r="M12" s="83"/>
      <c r="N12" s="83"/>
      <c r="O12" s="83"/>
      <c r="P12" s="83"/>
      <c r="Q12" s="83"/>
    </row>
    <row r="13" spans="1:17" s="61" customFormat="1" ht="9.9499999999999993" customHeight="1" x14ac:dyDescent="0.35">
      <c r="A13" s="70"/>
      <c r="B13" s="70"/>
      <c r="C13" s="70"/>
      <c r="D13" s="15"/>
      <c r="E13" s="70"/>
      <c r="F13" s="70"/>
      <c r="G13" s="70"/>
      <c r="H13" s="70"/>
      <c r="I13" s="70"/>
      <c r="J13" s="70"/>
      <c r="L13" s="83"/>
      <c r="M13" s="83"/>
      <c r="N13" s="83"/>
      <c r="O13" s="83"/>
      <c r="P13" s="83"/>
      <c r="Q13" s="83"/>
    </row>
    <row r="14" spans="1:17" s="61" customFormat="1" x14ac:dyDescent="0.35">
      <c r="A14" s="20" t="s">
        <v>0</v>
      </c>
      <c r="B14" s="20"/>
      <c r="C14" s="21"/>
      <c r="D14" s="21"/>
      <c r="E14" s="21"/>
      <c r="F14" s="21"/>
      <c r="G14" s="21"/>
      <c r="H14" s="21"/>
      <c r="I14" s="21"/>
      <c r="J14" s="21"/>
      <c r="L14" s="83"/>
      <c r="M14" s="83"/>
      <c r="N14" s="83"/>
      <c r="O14" s="83"/>
      <c r="P14" s="83"/>
      <c r="Q14" s="83"/>
    </row>
    <row r="15" spans="1:17" s="70" customFormat="1" ht="9.9499999999999993" customHeight="1" x14ac:dyDescent="0.35"/>
    <row r="16" spans="1:17" s="70" customFormat="1" x14ac:dyDescent="0.35">
      <c r="A16" s="22" t="s">
        <v>72</v>
      </c>
      <c r="F16" s="6">
        <f>'1. Kind und Zusammenfassung'!F54</f>
        <v>0</v>
      </c>
      <c r="G16" s="49"/>
      <c r="H16" s="49"/>
      <c r="I16" s="108"/>
      <c r="J16" s="108"/>
    </row>
    <row r="17" spans="1:17" s="70" customFormat="1" ht="9.9499999999999993" customHeight="1" x14ac:dyDescent="0.35">
      <c r="B17" s="22"/>
    </row>
    <row r="18" spans="1:17" s="61" customFormat="1" ht="0.95" customHeight="1" x14ac:dyDescent="0.35">
      <c r="A18" s="70"/>
      <c r="B18" s="70"/>
      <c r="C18" s="70"/>
      <c r="D18" s="15"/>
      <c r="E18" s="70"/>
      <c r="F18" s="70"/>
      <c r="G18" s="70"/>
      <c r="H18" s="70"/>
      <c r="I18" s="70"/>
      <c r="J18" s="70"/>
      <c r="L18" s="83"/>
      <c r="M18" s="83"/>
      <c r="N18" s="83"/>
      <c r="O18" s="83"/>
      <c r="P18" s="83"/>
      <c r="Q18" s="83"/>
    </row>
    <row r="19" spans="1:17" ht="0.95" customHeight="1" x14ac:dyDescent="0.35"/>
    <row r="20" spans="1:17" x14ac:dyDescent="0.35">
      <c r="A20" s="20" t="s">
        <v>53</v>
      </c>
      <c r="B20" s="20"/>
      <c r="C20" s="21"/>
      <c r="D20" s="21"/>
      <c r="E20" s="21"/>
      <c r="F20" s="21"/>
      <c r="G20" s="21"/>
      <c r="H20" s="21"/>
      <c r="I20" s="21"/>
      <c r="J20" s="21"/>
    </row>
    <row r="21" spans="1:17" ht="9.9499999999999993" customHeight="1" x14ac:dyDescent="0.35"/>
    <row r="22" spans="1:17" ht="20.100000000000001" customHeight="1" x14ac:dyDescent="0.35">
      <c r="A22" s="70" t="s">
        <v>13</v>
      </c>
      <c r="B22" s="67"/>
      <c r="D22" s="70" t="s">
        <v>17</v>
      </c>
      <c r="F22" s="103"/>
      <c r="G22" s="103"/>
      <c r="H22" s="103"/>
      <c r="I22" s="103"/>
      <c r="J22" s="103"/>
    </row>
    <row r="23" spans="1:17" ht="9.9499999999999993" customHeight="1" x14ac:dyDescent="0.35"/>
    <row r="24" spans="1:17" ht="20.100000000000001" customHeight="1" x14ac:dyDescent="0.35">
      <c r="A24" s="70" t="s">
        <v>14</v>
      </c>
      <c r="B24" s="5"/>
      <c r="D24" s="70" t="s">
        <v>21</v>
      </c>
      <c r="F24" s="5"/>
    </row>
    <row r="25" spans="1:17" ht="9.9499999999999993" customHeight="1" x14ac:dyDescent="0.35"/>
    <row r="26" spans="1:17" ht="0.95" customHeight="1" x14ac:dyDescent="0.35">
      <c r="A26" s="28"/>
      <c r="B26" s="28"/>
      <c r="C26" s="28"/>
      <c r="D26" s="28"/>
    </row>
    <row r="27" spans="1:17" x14ac:dyDescent="0.35">
      <c r="A27" s="20" t="s">
        <v>25</v>
      </c>
      <c r="B27" s="20"/>
      <c r="C27" s="21"/>
      <c r="D27" s="21"/>
      <c r="E27" s="21"/>
      <c r="F27" s="21"/>
      <c r="G27" s="21"/>
      <c r="H27" s="21"/>
      <c r="I27" s="21"/>
      <c r="J27" s="21"/>
    </row>
    <row r="28" spans="1:17" ht="9.9499999999999993" customHeight="1" x14ac:dyDescent="0.35"/>
    <row r="29" spans="1:17" ht="18" thickBot="1" x14ac:dyDescent="0.4">
      <c r="A29" s="26" t="s">
        <v>2</v>
      </c>
      <c r="B29" s="27"/>
      <c r="C29" s="27"/>
      <c r="D29" s="27"/>
      <c r="E29" s="27"/>
      <c r="F29" s="27"/>
      <c r="G29" s="27"/>
      <c r="H29" s="27"/>
      <c r="I29" s="27"/>
      <c r="J29" s="27"/>
    </row>
    <row r="30" spans="1:17" ht="9.9499999999999993" customHeight="1" x14ac:dyDescent="0.35">
      <c r="A30" s="22"/>
      <c r="Q30" s="83" t="s">
        <v>12</v>
      </c>
    </row>
    <row r="31" spans="1:17" ht="34.5" x14ac:dyDescent="0.35">
      <c r="B31" s="29" t="s">
        <v>34</v>
      </c>
      <c r="C31" s="30"/>
      <c r="D31" s="29" t="s">
        <v>29</v>
      </c>
      <c r="E31" s="30"/>
      <c r="F31" s="29" t="s">
        <v>52</v>
      </c>
      <c r="H31" s="29" t="s">
        <v>1</v>
      </c>
      <c r="J31" s="29" t="s">
        <v>51</v>
      </c>
    </row>
    <row r="32" spans="1:17" ht="17.25" customHeight="1" x14ac:dyDescent="0.35">
      <c r="A32" s="70" t="s">
        <v>27</v>
      </c>
      <c r="B32" s="2"/>
      <c r="D32" s="3"/>
      <c r="F32" s="44" t="str">
        <f>IF(B34&lt;0,0,B34)</f>
        <v/>
      </c>
      <c r="G32" s="31"/>
      <c r="H32" s="4" t="str">
        <f>IF(ISBLANK(D32),"",IF(B32-F34&lt;'Tabelle Betreuungsgutscheine'!D18,'Tabelle Betreuungsgutscheine'!D18,B32-F34))</f>
        <v/>
      </c>
      <c r="I32" s="32"/>
      <c r="J32" s="10" t="str">
        <f>IF(ISBLANK(D32),"",ROUND(J34/5,2)*5)</f>
        <v/>
      </c>
    </row>
    <row r="33" spans="1:10" ht="17.25" customHeight="1" x14ac:dyDescent="0.35">
      <c r="D33" s="15"/>
      <c r="J33" s="25" t="str">
        <f>IF(D32/5*100%&gt;$H$12,"Hinweis: Das maximal unterstützte Pensum liegt bei "&amp;($H$12*100)&amp;"%. Die Kitabetreuung wird an maximal "&amp;($H$12*5)&amp;" Wochentag/en unterstützt.","")</f>
        <v/>
      </c>
    </row>
    <row r="34" spans="1:10" ht="17.25" hidden="1" customHeight="1" x14ac:dyDescent="0.35">
      <c r="B34" s="45" t="str">
        <f>IF(ISBLANK(D32),"",IF(OR(H34&gt;=B32,H34&gt;B32-H32),B32-H32,H34))</f>
        <v/>
      </c>
      <c r="F34" s="36" t="str">
        <f>IF(ISBLANK(D32),"",VLOOKUP($F$16,'Tabelle Betreuungsgutscheine'!A1:I16,4,1))</f>
        <v/>
      </c>
      <c r="H34" s="46" t="str">
        <f>IF(ISBLANK($D$32),"",IF($B$32-'Tabelle Betreuungsgutscheine'!D18&lt;='Tabelle Betreuungsgutscheine'!D18,($B$32-$H$32),$F$34))</f>
        <v/>
      </c>
      <c r="J34" s="33" t="e">
        <f>IF(D32/5*100%&lt;=$H$12,F32*(D32/5*100)*236/(100*12),($H$12*F32*236)/12)</f>
        <v>#VALUE!</v>
      </c>
    </row>
    <row r="35" spans="1:10" ht="17.25" hidden="1" customHeight="1" x14ac:dyDescent="0.35">
      <c r="J35" s="80">
        <f>IF(J32="",0,J32)</f>
        <v>0</v>
      </c>
    </row>
    <row r="36" spans="1:10" ht="17.25" hidden="1" customHeight="1" x14ac:dyDescent="0.35"/>
    <row r="37" spans="1:10" ht="17.25" customHeight="1" x14ac:dyDescent="0.35">
      <c r="A37" s="70" t="s">
        <v>28</v>
      </c>
      <c r="B37" s="2"/>
      <c r="D37" s="3"/>
      <c r="F37" s="44" t="str">
        <f>IF(B39&lt;0,0,B39)</f>
        <v/>
      </c>
      <c r="G37" s="31"/>
      <c r="H37" s="4" t="str">
        <f>IF(ISBLANK(D37),"",IF(B37-F39&lt;'Tabelle Betreuungsgutscheine'!E18,'Tabelle Betreuungsgutscheine'!E18,B37-F39))</f>
        <v/>
      </c>
      <c r="I37" s="32"/>
      <c r="J37" s="10" t="str">
        <f>IF(ISBLANK(D37),"",ROUND(J39/5,2)*5)</f>
        <v/>
      </c>
    </row>
    <row r="38" spans="1:10" ht="17.25" customHeight="1" x14ac:dyDescent="0.35">
      <c r="D38" s="15"/>
      <c r="J38" s="25" t="str">
        <f>IF(D37/5*100%&gt;$H$12,"Hinweis: Das maximal unterstützte Pensum liegt bei "&amp;($H$12*100)&amp;"%. Die Kitabetreuung wird an maximal "&amp;($H$12*5)&amp;" Wochentag/en unterstützt.","")</f>
        <v/>
      </c>
    </row>
    <row r="39" spans="1:10" ht="17.25" hidden="1" customHeight="1" x14ac:dyDescent="0.35">
      <c r="B39" s="45" t="str">
        <f>IF(ISBLANK(D37),"",IF(OR(H39&gt;=B37,H39&gt;B37-H37),B37-H37,H39))</f>
        <v/>
      </c>
      <c r="D39" s="81">
        <f>D32+D37</f>
        <v>0</v>
      </c>
      <c r="F39" s="36" t="str">
        <f>IF(ISBLANK(D37),"",VLOOKUP($F$16,'Tabelle Betreuungsgutscheine'!A1:I16,5,1))</f>
        <v/>
      </c>
      <c r="H39" s="46" t="str">
        <f>IF(ISBLANK($D$37),"",IF($B$37-'Tabelle Betreuungsgutscheine'!E18&lt;='Tabelle Betreuungsgutscheine'!E18,($B$37-$H$37),$F$39))</f>
        <v/>
      </c>
      <c r="J39" s="33" t="e">
        <f>IF(D37/5*100%&lt;=$H$12,F37*(D37/5*100)*236/(100*12),($H$12*F37*236)/12)</f>
        <v>#VALUE!</v>
      </c>
    </row>
    <row r="40" spans="1:10" ht="17.25" hidden="1" customHeight="1" x14ac:dyDescent="0.35">
      <c r="A40" s="17"/>
      <c r="B40" s="17"/>
      <c r="C40" s="17"/>
      <c r="D40" s="17"/>
      <c r="E40" s="17"/>
      <c r="F40" s="37"/>
      <c r="G40" s="17"/>
      <c r="H40" s="47"/>
      <c r="I40" s="17"/>
      <c r="J40" s="80">
        <f>IF(J37="",0,J37)</f>
        <v>0</v>
      </c>
    </row>
    <row r="41" spans="1:10" ht="17.25" customHeight="1" x14ac:dyDescent="0.35">
      <c r="F41" s="70" t="s">
        <v>43</v>
      </c>
    </row>
    <row r="42" spans="1:10" ht="17.25" customHeight="1" x14ac:dyDescent="0.35">
      <c r="D42" s="70" t="s">
        <v>46</v>
      </c>
      <c r="F42" s="50">
        <f>IF(D39&gt;0,'Tabelle Betreuungsgutscheine'!D17,0)</f>
        <v>0</v>
      </c>
      <c r="J42" s="10">
        <f>IF(ISBLANK(D39),0,ROUND(J44/5,2)*5)</f>
        <v>0</v>
      </c>
    </row>
    <row r="43" spans="1:10" ht="17.25" customHeight="1" x14ac:dyDescent="0.35">
      <c r="J43" s="51" t="str">
        <f>IF(D39/5*100%&gt;H12,"Hinweis: Das maximal unterstützte Pensum liegt bei "&amp;(H12*100)&amp;"%. Der Geschwisterbonus wird für maximal "&amp;(H12*5)&amp;" Tage pro Woche ausbezahlt.","")</f>
        <v/>
      </c>
    </row>
    <row r="44" spans="1:10" ht="17.25" hidden="1" customHeight="1" x14ac:dyDescent="0.35">
      <c r="J44" s="33">
        <f>IF(D39/5*100%&lt;=H12,F42*(D39/5*100)*236/(100*12),(H12*F42*236)/12)</f>
        <v>0</v>
      </c>
    </row>
    <row r="45" spans="1:10" ht="17.25" hidden="1" customHeight="1" x14ac:dyDescent="0.35">
      <c r="J45" s="80">
        <f>IF(J42="",0,J42)</f>
        <v>0</v>
      </c>
    </row>
    <row r="46" spans="1:10" ht="17.25" customHeight="1" thickBot="1" x14ac:dyDescent="0.4">
      <c r="A46" s="26" t="s">
        <v>3</v>
      </c>
      <c r="B46" s="27"/>
      <c r="C46" s="27"/>
      <c r="D46" s="27"/>
      <c r="E46" s="27"/>
      <c r="F46" s="27"/>
      <c r="G46" s="27"/>
      <c r="H46" s="27"/>
      <c r="I46" s="27"/>
      <c r="J46" s="27"/>
    </row>
    <row r="47" spans="1:10" ht="9.9499999999999993" customHeight="1" x14ac:dyDescent="0.35"/>
    <row r="48" spans="1:10" ht="34.5" x14ac:dyDescent="0.35">
      <c r="B48" s="29" t="s">
        <v>35</v>
      </c>
      <c r="C48" s="30"/>
      <c r="D48" s="29" t="s">
        <v>16</v>
      </c>
      <c r="E48" s="30"/>
      <c r="F48" s="29" t="s">
        <v>88</v>
      </c>
      <c r="H48" s="29" t="s">
        <v>24</v>
      </c>
      <c r="J48" s="29" t="s">
        <v>51</v>
      </c>
    </row>
    <row r="49" spans="1:11" ht="17.25" customHeight="1" x14ac:dyDescent="0.35">
      <c r="B49" s="2"/>
      <c r="D49" s="3"/>
      <c r="F49" s="44" t="str">
        <f>IF(B51&lt;0,0,B51)</f>
        <v/>
      </c>
      <c r="G49" s="31"/>
      <c r="H49" s="4" t="str">
        <f>IF(ISBLANK(D49),"",IF(B49-F51&lt;='Tabelle Betreuungsgutscheine'!F18,'Tabelle Betreuungsgutscheine'!F18,B49-F51))</f>
        <v/>
      </c>
      <c r="I49" s="31"/>
      <c r="J49" s="10" t="str">
        <f>IF(ISBLANK(D49),"",ROUND(J51/5,2)*5)</f>
        <v/>
      </c>
    </row>
    <row r="50" spans="1:11" ht="17.25" customHeight="1" x14ac:dyDescent="0.35">
      <c r="D50" s="15"/>
      <c r="J50" s="25" t="str">
        <f>IF(D49*100%/50&gt;$H$12,"Hinweis: Das maximal unterstützte Pensum liegt bei "&amp;($H$12*100)&amp;"%. Es werden maximal "&amp;($H$12*200)&amp;" Stunden pro Monat unterstützt.","")</f>
        <v/>
      </c>
    </row>
    <row r="51" spans="1:11" ht="17.25" hidden="1" customHeight="1" x14ac:dyDescent="0.35">
      <c r="B51" s="45" t="str">
        <f>IF(ISBLANK(D49),"",IF(OR(H51&gt;=B49,H51&gt;B49-H49),B49-H49,H51))</f>
        <v/>
      </c>
      <c r="D51" s="15"/>
      <c r="F51" s="36" t="str">
        <f>IF(ISBLANK(D49),"",VLOOKUP($F$16,'Tabelle Betreuungsgutscheine'!A1:I16,6,1))</f>
        <v/>
      </c>
      <c r="H51" s="46" t="str">
        <f>IF(ISBLANK(D49),"",IF(B49-'Tabelle Betreuungsgutscheine'!F18&lt;='Tabelle Betreuungsgutscheine'!F18,(B49-H49),F51))</f>
        <v/>
      </c>
      <c r="J51" s="33" t="e">
        <f>IF(D49*100%/50&lt;=$H$12,F49*D49*48/12,(F49*($H$12*50/100%)*48)/12)</f>
        <v>#VALUE!</v>
      </c>
    </row>
    <row r="52" spans="1:11" s="60" customFormat="1" ht="17.25" hidden="1" customHeight="1" x14ac:dyDescent="0.35">
      <c r="A52" s="49"/>
      <c r="B52" s="49"/>
      <c r="C52" s="55"/>
      <c r="D52" s="49"/>
      <c r="E52" s="53"/>
      <c r="F52" s="49"/>
      <c r="G52" s="56"/>
      <c r="H52" s="49"/>
      <c r="I52" s="54"/>
      <c r="J52" s="80">
        <f>IF(J49="",0,J49)</f>
        <v>0</v>
      </c>
      <c r="K52" s="61"/>
    </row>
    <row r="53" spans="1:11" ht="17.25" customHeight="1" x14ac:dyDescent="0.35">
      <c r="F53" s="70" t="s">
        <v>42</v>
      </c>
    </row>
    <row r="54" spans="1:11" ht="17.25" customHeight="1" x14ac:dyDescent="0.35">
      <c r="D54" s="70" t="s">
        <v>46</v>
      </c>
      <c r="F54" s="50">
        <f>IF(D49&gt;0,'Tabelle Betreuungsgutscheine'!F17,0)</f>
        <v>0</v>
      </c>
      <c r="J54" s="10">
        <f>IF(ISBLANK(D49),0,ROUND(J56/5,2)*5)</f>
        <v>0</v>
      </c>
    </row>
    <row r="55" spans="1:11" ht="17.25" customHeight="1" x14ac:dyDescent="0.35">
      <c r="J55" s="51" t="str">
        <f>IF(D49/5*100%&gt;H12,"Hinweis: Das maximal unterstützte Pensum liegt bei "&amp;(H12*100)&amp;"%. Der Geschwisterbonus wird für maximal "&amp;(H12*50*4)&amp;" Stunden pro Monat ausbezahlt.","")</f>
        <v/>
      </c>
    </row>
    <row r="56" spans="1:11" ht="17.25" hidden="1" customHeight="1" x14ac:dyDescent="0.35">
      <c r="J56" s="33">
        <f>IF(D49*100%/50&lt;=H12,F54*D49*48/12,(F54*(H12*50/100%)*48)/12)</f>
        <v>0</v>
      </c>
    </row>
    <row r="57" spans="1:11" ht="17.25" hidden="1" customHeight="1" x14ac:dyDescent="0.35">
      <c r="J57" s="80">
        <f>IF(J54="",0,J54)</f>
        <v>0</v>
      </c>
    </row>
    <row r="58" spans="1:11" s="17" customFormat="1" ht="17.25" customHeight="1" thickBot="1" x14ac:dyDescent="0.4">
      <c r="A58" s="26" t="s">
        <v>75</v>
      </c>
      <c r="B58" s="27"/>
      <c r="C58" s="27"/>
      <c r="D58" s="27"/>
      <c r="E58" s="27"/>
      <c r="F58" s="27"/>
      <c r="G58" s="27"/>
      <c r="H58" s="27"/>
      <c r="I58" s="27"/>
      <c r="J58" s="27"/>
    </row>
    <row r="59" spans="1:11" s="70" customFormat="1" ht="9.9499999999999993" customHeight="1" x14ac:dyDescent="0.35"/>
    <row r="60" spans="1:11" s="70" customFormat="1" ht="34.5" x14ac:dyDescent="0.35">
      <c r="B60" s="29" t="s">
        <v>76</v>
      </c>
      <c r="C60" s="30"/>
      <c r="D60" s="29" t="s">
        <v>77</v>
      </c>
      <c r="E60" s="30"/>
      <c r="F60" s="29" t="s">
        <v>78</v>
      </c>
      <c r="H60" s="29" t="s">
        <v>79</v>
      </c>
      <c r="J60" s="29" t="s">
        <v>80</v>
      </c>
      <c r="K60" s="77"/>
    </row>
    <row r="61" spans="1:11" s="70" customFormat="1" ht="17.25" customHeight="1" x14ac:dyDescent="0.35">
      <c r="A61" s="70" t="s">
        <v>81</v>
      </c>
      <c r="B61" s="2"/>
      <c r="D61" s="78"/>
      <c r="F61" s="44" t="str">
        <f>IF(B63&lt;0,0,B63)</f>
        <v/>
      </c>
      <c r="G61" s="31"/>
      <c r="H61" s="4" t="str">
        <f>IF(ISBLANK(D61),"",IF(B61-F63&lt;=8,8,B61-F63))</f>
        <v/>
      </c>
      <c r="J61" s="10" t="str">
        <f>IF(ISBLANK(D61),"",ROUND(J63/5,2)*5)</f>
        <v/>
      </c>
    </row>
    <row r="62" spans="1:11" s="70" customFormat="1" ht="17.25" customHeight="1" x14ac:dyDescent="0.35">
      <c r="D62" s="15"/>
      <c r="J62" s="25" t="str">
        <f>IF(D61/5*100%&gt;H12,"Hinweis: Das maximal unterstützte Pensum liegt bei "&amp;(H12*100)&amp;"%. Die Tagesstrukturen werden an maximal "&amp;(H12*5)&amp;" Wochentag/en unterstützt.","")</f>
        <v/>
      </c>
    </row>
    <row r="63" spans="1:11" s="70" customFormat="1" ht="17.25" hidden="1" customHeight="1" x14ac:dyDescent="0.35">
      <c r="B63" s="45" t="str">
        <f>IF(ISBLANK(D61),"",IF(OR(H63&gt;=B61,H63&gt;B61-H61),B61-H61,H63))</f>
        <v/>
      </c>
      <c r="D63" s="15"/>
      <c r="F63" s="36" t="str">
        <f>IF(ISBLANK(D61),"",VLOOKUP($F$16,'Tabelle Betreuungsgutscheine'!A1:I16,7,1))</f>
        <v/>
      </c>
      <c r="H63" s="46" t="str">
        <f>IF(ISBLANK(D61),"",IF(B61-'Tabelle Betreuungsgutscheine'!G18&lt;='Tabelle Betreuungsgutscheine'!G18,(B61-H61),F63))</f>
        <v/>
      </c>
      <c r="J63" s="33" t="e">
        <f>IF(D61/5*100%&lt;=H12,F61*(D61/5*100)*190/(100*12),(H12*F61*190)/12)</f>
        <v>#VALUE!</v>
      </c>
    </row>
    <row r="64" spans="1:11" s="17" customFormat="1" ht="17.25" hidden="1" customHeight="1" x14ac:dyDescent="0.35">
      <c r="F64" s="37"/>
      <c r="H64" s="47"/>
      <c r="J64" s="79">
        <f>IF(J61="",0,J61)</f>
        <v>0</v>
      </c>
    </row>
    <row r="65" spans="1:10" ht="17.25" customHeight="1" x14ac:dyDescent="0.35">
      <c r="F65" s="70" t="s">
        <v>90</v>
      </c>
    </row>
    <row r="66" spans="1:10" ht="17.25" customHeight="1" x14ac:dyDescent="0.35">
      <c r="D66" s="70" t="s">
        <v>46</v>
      </c>
      <c r="F66" s="50">
        <f>IF(D61&gt;0,'Tabelle Betreuungsgutscheine'!G17,0)</f>
        <v>0</v>
      </c>
      <c r="J66" s="10">
        <f>IF(ISBLANK(D61),0,ROUND(J68/5,2)*5)</f>
        <v>0</v>
      </c>
    </row>
    <row r="67" spans="1:10" ht="17.25" customHeight="1" x14ac:dyDescent="0.35">
      <c r="J67" s="51" t="str">
        <f>IF(D61/5*100%&gt;H12,"Hinweis: Das maximal unterstützte Pensum liegt bei "&amp;(H12*100)&amp;"%. Der Geschwisterbonus wird für maximal "&amp;(H12*50*4)&amp;" Stunden pro Monat ausbezahlt.","")</f>
        <v/>
      </c>
    </row>
    <row r="68" spans="1:10" ht="17.25" hidden="1" customHeight="1" x14ac:dyDescent="0.35">
      <c r="J68" s="33">
        <f>IF(D61/5*100%&lt;=H12,F66*(D61/5*100)*190/(100*12),(H12*F66*190)/12)</f>
        <v>0</v>
      </c>
    </row>
    <row r="69" spans="1:10" ht="17.25" hidden="1" customHeight="1" x14ac:dyDescent="0.35">
      <c r="J69" s="80">
        <f>IF(J66="",0,J66)</f>
        <v>0</v>
      </c>
    </row>
    <row r="70" spans="1:10" s="70" customFormat="1" ht="17.25" hidden="1" customHeight="1" x14ac:dyDescent="0.35">
      <c r="D70" s="15"/>
      <c r="J70" s="25"/>
    </row>
    <row r="71" spans="1:10" s="70" customFormat="1" ht="17.25" customHeight="1" x14ac:dyDescent="0.35">
      <c r="A71" s="70" t="s">
        <v>82</v>
      </c>
      <c r="B71" s="2"/>
      <c r="D71" s="78"/>
      <c r="F71" s="44" t="str">
        <f>IF(B73&lt;0,0,B73)</f>
        <v/>
      </c>
      <c r="G71" s="31"/>
      <c r="H71" s="4" t="str">
        <f>IF(ISBLANK(D71),"",IF(B71-F73&lt;=8,8,B71-F73))</f>
        <v/>
      </c>
      <c r="J71" s="10" t="str">
        <f>IF(ISBLANK(D71),"",ROUND(J73/5,2)*5)</f>
        <v/>
      </c>
    </row>
    <row r="72" spans="1:10" s="70" customFormat="1" ht="17.25" customHeight="1" x14ac:dyDescent="0.35">
      <c r="D72" s="15"/>
      <c r="F72" s="17"/>
      <c r="G72" s="17"/>
      <c r="H72" s="17"/>
      <c r="I72" s="17"/>
      <c r="J72" s="25" t="str">
        <f>IF(D71/5*100%&gt;H12,"Hinweis: Das maximal unterstützte Pensum liegt bei "&amp;(H12*100)&amp;"%. Die Tagesstrukturen werden an maximal "&amp;(H12*5)&amp;" Wochentag/en unterstützt.","")</f>
        <v/>
      </c>
    </row>
    <row r="73" spans="1:10" s="70" customFormat="1" ht="17.25" hidden="1" customHeight="1" x14ac:dyDescent="0.35">
      <c r="B73" s="45" t="str">
        <f>IF(ISBLANK(D71),"",IF(OR(H73&gt;=B71,H73&gt;B71-H71),B71-H71,H73))</f>
        <v/>
      </c>
      <c r="D73" s="15"/>
      <c r="F73" s="36" t="str">
        <f>IF(ISBLANK(D71),"",VLOOKUP($F$16,'Tabelle Betreuungsgutscheine'!A1:I16,8,1))</f>
        <v/>
      </c>
      <c r="H73" s="46" t="str">
        <f>IF(ISBLANK(D71),"",IF(B71-'Tabelle Betreuungsgutscheine'!H18&lt;='Tabelle Betreuungsgutscheine'!H18,(B71-H71),F73))</f>
        <v/>
      </c>
      <c r="J73" s="33" t="e">
        <f>IF(D71/5*100%&lt;=H12,F71*(D71/5*100)*190/(100*12),(H12*F71*190)/12)</f>
        <v>#VALUE!</v>
      </c>
    </row>
    <row r="74" spans="1:10" s="17" customFormat="1" ht="17.25" hidden="1" customHeight="1" x14ac:dyDescent="0.35">
      <c r="F74" s="37"/>
      <c r="H74" s="47"/>
      <c r="J74" s="79">
        <f>IF(J71="",0,J71)</f>
        <v>0</v>
      </c>
    </row>
    <row r="75" spans="1:10" ht="17.25" customHeight="1" x14ac:dyDescent="0.35">
      <c r="F75" s="70" t="s">
        <v>90</v>
      </c>
    </row>
    <row r="76" spans="1:10" ht="17.25" customHeight="1" x14ac:dyDescent="0.35">
      <c r="D76" s="70" t="s">
        <v>46</v>
      </c>
      <c r="F76" s="50">
        <f>IF(D71&gt;0,'Tabelle Betreuungsgutscheine'!H17,0)</f>
        <v>0</v>
      </c>
      <c r="J76" s="10">
        <f>IF(ISBLANK(D71),0,ROUND(J78/5,2)*5)</f>
        <v>0</v>
      </c>
    </row>
    <row r="77" spans="1:10" ht="17.25" customHeight="1" x14ac:dyDescent="0.35">
      <c r="J77" s="51" t="str">
        <f>IF(D71/5*100%&gt;H12,"Hinweis: Das maximal unterstützte Pensum liegt bei "&amp;(H12*100)&amp;"%. Der Geschwisterbonus wird für maximal "&amp;(H12*50*4)&amp;" Stunden pro Monat ausbezahlt.","")</f>
        <v/>
      </c>
    </row>
    <row r="78" spans="1:10" ht="17.25" hidden="1" customHeight="1" x14ac:dyDescent="0.35">
      <c r="J78" s="33">
        <f>IF(D71/5*100%&lt;=H12,F76*(D71/5*100)*190/(100*12),(H12*F76*190)/12)</f>
        <v>0</v>
      </c>
    </row>
    <row r="79" spans="1:10" ht="17.25" hidden="1" customHeight="1" x14ac:dyDescent="0.35">
      <c r="J79" s="80">
        <f>IF(J76="",0,J76)</f>
        <v>0</v>
      </c>
    </row>
    <row r="80" spans="1:10" s="70" customFormat="1" ht="17.25" hidden="1" customHeight="1" x14ac:dyDescent="0.35">
      <c r="D80" s="15"/>
      <c r="J80" s="25"/>
    </row>
    <row r="81" spans="1:10" s="70" customFormat="1" ht="17.25" customHeight="1" x14ac:dyDescent="0.35">
      <c r="A81" s="70" t="s">
        <v>83</v>
      </c>
      <c r="B81" s="2"/>
      <c r="D81" s="78"/>
      <c r="F81" s="44" t="str">
        <f>IF(B83&lt;0,0,B83)</f>
        <v/>
      </c>
      <c r="G81" s="31"/>
      <c r="H81" s="4" t="str">
        <f>IF(ISBLANK(D81),"",IF(B81-F83&lt;=4,4,B81-F83))</f>
        <v/>
      </c>
      <c r="J81" s="10" t="str">
        <f>IF(ISBLANK(D81),"",ROUND(J83/5,2)*5)</f>
        <v/>
      </c>
    </row>
    <row r="82" spans="1:10" s="70" customFormat="1" ht="17.25" customHeight="1" x14ac:dyDescent="0.35">
      <c r="D82" s="15"/>
      <c r="F82" s="17"/>
      <c r="G82" s="17"/>
      <c r="H82" s="17"/>
      <c r="I82" s="17"/>
      <c r="J82" s="25" t="str">
        <f>IF(D81/5*100%&gt;H12,"Hinweis: Das maximal unterstützte Pensum liegt bei "&amp;(H12*100)&amp;"%. Die Tagesstrukturen werden an maximal "&amp;(H12*5)&amp;" Wochentag/en unterstützt.","")</f>
        <v/>
      </c>
    </row>
    <row r="83" spans="1:10" s="70" customFormat="1" ht="17.25" hidden="1" customHeight="1" x14ac:dyDescent="0.35">
      <c r="B83" s="45" t="str">
        <f>IF(ISBLANK(D81),"",IF(OR(H83&gt;=B81,H83&gt;B81-H81),B81-H81,H83))</f>
        <v/>
      </c>
      <c r="D83" s="15"/>
      <c r="F83" s="36" t="str">
        <f>IF(ISBLANK(D81),"",VLOOKUP($F$16,'Tabelle Betreuungsgutscheine'!A1:I17,9,1))</f>
        <v/>
      </c>
      <c r="H83" s="46" t="str">
        <f>IF(ISBLANK(D81),"",IF(B81-'Tabelle Betreuungsgutscheine'!I18&lt;='Tabelle Betreuungsgutscheine'!I18,(B81-H81),F83))</f>
        <v/>
      </c>
      <c r="J83" s="33" t="e">
        <f>IF(D81/5*100%&lt;=H12,F81*(D81/5*100)*190/(100*12),(H12*F81*190)/12)</f>
        <v>#VALUE!</v>
      </c>
    </row>
    <row r="84" spans="1:10" s="17" customFormat="1" ht="17.25" hidden="1" customHeight="1" x14ac:dyDescent="0.35">
      <c r="F84" s="37"/>
      <c r="H84" s="47"/>
      <c r="J84" s="79">
        <f>IF(J81="",0,J81)</f>
        <v>0</v>
      </c>
    </row>
    <row r="85" spans="1:10" ht="17.25" customHeight="1" x14ac:dyDescent="0.35">
      <c r="F85" s="70" t="s">
        <v>90</v>
      </c>
    </row>
    <row r="86" spans="1:10" ht="17.25" customHeight="1" x14ac:dyDescent="0.35">
      <c r="D86" s="70" t="s">
        <v>46</v>
      </c>
      <c r="F86" s="50">
        <f>IF(D81&gt;0,'Tabelle Betreuungsgutscheine'!I17,0)</f>
        <v>0</v>
      </c>
      <c r="J86" s="10">
        <f>IF(ISBLANK(D81),0,ROUND(J88/5,2)*5)</f>
        <v>0</v>
      </c>
    </row>
    <row r="87" spans="1:10" ht="17.25" hidden="1" customHeight="1" x14ac:dyDescent="0.35">
      <c r="J87" s="51" t="str">
        <f>IF(D81/5*100%&gt;H12,"Hinweis: Das maximal unterstützte Pensum liegt bei "&amp;(H12*100)&amp;"%. Der Geschwisterbonus wird für maximal "&amp;(H12*50*4)&amp;" Stunden pro Monat ausbezahlt.","")</f>
        <v/>
      </c>
    </row>
    <row r="88" spans="1:10" ht="17.25" hidden="1" customHeight="1" x14ac:dyDescent="0.35">
      <c r="J88" s="33">
        <f>IF(D81/5*100%&lt;=H12,F86*(D81/5*100)*190/(100*12),(H12*F86*190)/12)</f>
        <v>0</v>
      </c>
    </row>
    <row r="89" spans="1:10" ht="17.25" hidden="1" customHeight="1" x14ac:dyDescent="0.35">
      <c r="J89" s="80">
        <f>IF(J86="",0,J86)</f>
        <v>0</v>
      </c>
    </row>
    <row r="90" spans="1:10" ht="17.25" hidden="1" customHeight="1" x14ac:dyDescent="0.35"/>
    <row r="91" spans="1:10" x14ac:dyDescent="0.35"/>
    <row r="92" spans="1:10" x14ac:dyDescent="0.35"/>
    <row r="93" spans="1:10" x14ac:dyDescent="0.35"/>
    <row r="94" spans="1:10" x14ac:dyDescent="0.35"/>
    <row r="95" spans="1:10" x14ac:dyDescent="0.35"/>
    <row r="96" spans="1:10" x14ac:dyDescent="0.35"/>
    <row r="97" x14ac:dyDescent="0.35"/>
    <row r="98" x14ac:dyDescent="0.35"/>
    <row r="99" x14ac:dyDescent="0.35"/>
    <row r="100" x14ac:dyDescent="0.35"/>
  </sheetData>
  <sheetProtection password="FE71" sheet="1" objects="1" scenarios="1"/>
  <mergeCells count="4">
    <mergeCell ref="A9:A11"/>
    <mergeCell ref="J9:J11"/>
    <mergeCell ref="I16:J16"/>
    <mergeCell ref="F22:J22"/>
  </mergeCells>
  <conditionalFormatting sqref="I50:J50 I33:J33 G39:G40 G38:J38 I39:I40">
    <cfRule type="expression" dxfId="22" priority="22">
      <formula>IF(G33&lt;&gt;"",1,0)</formula>
    </cfRule>
  </conditionalFormatting>
  <conditionalFormatting sqref="A29:A30 A26">
    <cfRule type="expression" dxfId="21" priority="23">
      <formula>IF(#REF!&lt;&gt;"",1,0)</formula>
    </cfRule>
  </conditionalFormatting>
  <conditionalFormatting sqref="I34">
    <cfRule type="expression" dxfId="20" priority="21">
      <formula>IF(I34&lt;&gt;"",1,0)</formula>
    </cfRule>
  </conditionalFormatting>
  <conditionalFormatting sqref="I51">
    <cfRule type="expression" dxfId="19" priority="20">
      <formula>IF(I51&lt;&gt;"",1,0)</formula>
    </cfRule>
  </conditionalFormatting>
  <conditionalFormatting sqref="H8">
    <cfRule type="cellIs" dxfId="18" priority="19" operator="equal">
      <formula>"kein Anspruch - zu niedriges Pensum"</formula>
    </cfRule>
  </conditionalFormatting>
  <conditionalFormatting sqref="H10">
    <cfRule type="cellIs" dxfId="17" priority="18" operator="equal">
      <formula>"kein Anspruch - zu niedriges Pensum"</formula>
    </cfRule>
  </conditionalFormatting>
  <conditionalFormatting sqref="J9">
    <cfRule type="expression" dxfId="16" priority="17">
      <formula>IF($J$9&lt;&gt;"",1,0)</formula>
    </cfRule>
  </conditionalFormatting>
  <conditionalFormatting sqref="G34 G33:H33">
    <cfRule type="expression" dxfId="15" priority="16">
      <formula>IF(G33&lt;&gt;"",1,0)</formula>
    </cfRule>
  </conditionalFormatting>
  <conditionalFormatting sqref="G51 G50:H50">
    <cfRule type="expression" dxfId="14" priority="15">
      <formula>IF(G50&lt;&gt;"",1,0)</formula>
    </cfRule>
  </conditionalFormatting>
  <conditionalFormatting sqref="F52 H52">
    <cfRule type="expression" dxfId="13" priority="14">
      <formula>IF(F52&lt;&gt;"",1,0)</formula>
    </cfRule>
  </conditionalFormatting>
  <conditionalFormatting sqref="G62:J62 G72:J72">
    <cfRule type="expression" dxfId="12" priority="13">
      <formula>IF(G62&lt;&gt;"",1,0)</formula>
    </cfRule>
  </conditionalFormatting>
  <conditionalFormatting sqref="I63">
    <cfRule type="expression" dxfId="11" priority="12">
      <formula>IF(I63&lt;&gt;"",1,0)</formula>
    </cfRule>
  </conditionalFormatting>
  <conditionalFormatting sqref="I73">
    <cfRule type="expression" dxfId="10" priority="11">
      <formula>IF(I73&lt;&gt;"",1,0)</formula>
    </cfRule>
  </conditionalFormatting>
  <conditionalFormatting sqref="G82:I82">
    <cfRule type="expression" dxfId="9" priority="10">
      <formula>IF(G82&lt;&gt;"",1,0)</formula>
    </cfRule>
  </conditionalFormatting>
  <conditionalFormatting sqref="J82">
    <cfRule type="expression" dxfId="8" priority="9">
      <formula>IF(J82&lt;&gt;"",1,0)</formula>
    </cfRule>
  </conditionalFormatting>
  <conditionalFormatting sqref="I83">
    <cfRule type="expression" dxfId="7" priority="8">
      <formula>IF(I83&lt;&gt;"",1,0)</formula>
    </cfRule>
  </conditionalFormatting>
  <conditionalFormatting sqref="G70:J70">
    <cfRule type="expression" dxfId="6" priority="7">
      <formula>IF(G70&lt;&gt;"",1,0)</formula>
    </cfRule>
  </conditionalFormatting>
  <conditionalFormatting sqref="G80:J80">
    <cfRule type="expression" dxfId="5" priority="6">
      <formula>IF(G80&lt;&gt;"",1,0)</formula>
    </cfRule>
  </conditionalFormatting>
  <conditionalFormatting sqref="J43">
    <cfRule type="expression" dxfId="4" priority="5">
      <formula>IF(J43&lt;&gt;"",1,0)</formula>
    </cfRule>
  </conditionalFormatting>
  <conditionalFormatting sqref="J55">
    <cfRule type="expression" dxfId="3" priority="4">
      <formula>IF(J55&lt;&gt;"",1,0)</formula>
    </cfRule>
  </conditionalFormatting>
  <conditionalFormatting sqref="J67">
    <cfRule type="expression" dxfId="2" priority="3">
      <formula>IF(J67&lt;&gt;"",1,0)</formula>
    </cfRule>
  </conditionalFormatting>
  <conditionalFormatting sqref="J77">
    <cfRule type="expression" dxfId="1" priority="2">
      <formula>IF(J77&lt;&gt;"",1,0)</formula>
    </cfRule>
  </conditionalFormatting>
  <conditionalFormatting sqref="J87">
    <cfRule type="expression" dxfId="0" priority="1">
      <formula>IF(J87&lt;&gt;"",1,0)</formula>
    </cfRule>
  </conditionalFormatting>
  <dataValidations count="12">
    <dataValidation allowBlank="1" showInputMessage="1" showErrorMessage="1" errorTitle="Ungültige Eingabe" error="Bitte nur ganze Zahlen eingeben." sqref="B22"/>
    <dataValidation type="date" allowBlank="1" showInputMessage="1" showErrorMessage="1" sqref="F24">
      <formula1>42736</formula1>
      <formula2>47484</formula2>
    </dataValidation>
    <dataValidation type="date" allowBlank="1" showInputMessage="1" showErrorMessage="1" errorTitle="Ungültige Eingabe" error="Bitte Datum eingeben." sqref="B24">
      <formula1>32143</formula1>
      <formula2>47484</formula2>
    </dataValidation>
    <dataValidation type="decimal" allowBlank="1" showInputMessage="1" showErrorMessage="1" sqref="F9:F10 B9 D8:D9">
      <formula1>0</formula1>
      <formula2>1</formula2>
    </dataValidation>
    <dataValidation type="decimal" allowBlank="1" showInputMessage="1" showErrorMessage="1" errorTitle="Ungültige Eingabe" error="Das maximale Betreuungsvolumen beträgt 50 Stunden pro Woche." sqref="D49">
      <formula1>0</formula1>
      <formula2>50</formula2>
    </dataValidation>
    <dataValidation type="decimal" allowBlank="1" showInputMessage="1" showErrorMessage="1" errorTitle="Ungültige Eingabe" error="Das maximale Betreuungsvolumen beträgt 5 Tage pro Woche." sqref="D37 D32">
      <formula1>0</formula1>
      <formula2>5</formula2>
    </dataValidation>
    <dataValidation type="decimal" allowBlank="1" showInputMessage="1" showErrorMessage="1" errorTitle="Ungültige Eingabe" error="Bitte nur ganze Zahlen eingeben." sqref="B49">
      <formula1>0</formula1>
      <formula2>999999999</formula2>
    </dataValidation>
    <dataValidation type="decimal" allowBlank="1" showInputMessage="1" showErrorMessage="1" errorTitle="Ungültige Eingabe" error="Bitte nur ganze Zahlen eingeben." sqref="B32 B37">
      <formula1>0</formula1>
      <formula2>300</formula2>
    </dataValidation>
    <dataValidation type="decimal" allowBlank="1" showInputMessage="1" showErrorMessage="1" errorTitle="Ungültige Eingabe" error="Das maximale Pensum pro Person liegt bei 100%." sqref="B8 B10 D10">
      <formula1>0</formula1>
      <formula2>1</formula2>
    </dataValidation>
    <dataValidation type="decimal" allowBlank="1" showInputMessage="1" showErrorMessage="1" errorTitle="Ungültige Eingabe" error="Das maximale Betreuungsvolumen beträgt 5 Module pro Woche." sqref="D61 D71">
      <formula1>0</formula1>
      <formula2>5</formula2>
    </dataValidation>
    <dataValidation type="whole" allowBlank="1" showInputMessage="1" showErrorMessage="1" errorTitle="Ungültige Eingabe" error="Das maximale Betreuungsvolumen beträgt 5 Module pro Woche." sqref="D81">
      <formula1>0</formula1>
      <formula2>5</formula2>
    </dataValidation>
    <dataValidation type="decimal" allowBlank="1" showInputMessage="1" showErrorMessage="1" sqref="B81 B61 B71">
      <formula1>0</formula1>
      <formula2>200</formula2>
    </dataValidation>
  </dataValidations>
  <pageMargins left="0.78740157480314965" right="0.39370078740157483" top="0.4375" bottom="0.59055118110236227" header="0.15748031496062992" footer="0.15748031496062992"/>
  <pageSetup paperSize="9" scale="55" fitToHeight="0" orientation="portrait" r:id="rId1"/>
  <headerFooter>
    <oddHeader>&amp;R&amp;"Gill Sans MT,Standard"Copyright: Büro Communis GmbH, Luzern (2018)</oddHeader>
    <oddFooter>&amp;L&amp;"Gill Sans MT,Standard"&amp;9&amp;F&amp;R&amp;"Gill Sans MT,Standard"&amp;9Seite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18"/>
  <sheetViews>
    <sheetView zoomScaleNormal="100" workbookViewId="0">
      <selection activeCell="J1" sqref="J1:XFD1048576"/>
    </sheetView>
  </sheetViews>
  <sheetFormatPr baseColWidth="10" defaultColWidth="0" defaultRowHeight="12.75" zeroHeight="1" x14ac:dyDescent="0.2"/>
  <cols>
    <col min="1" max="1" width="16.28515625" customWidth="1"/>
    <col min="2" max="2" width="5.7109375" customWidth="1"/>
    <col min="3" max="3" width="18.28515625" customWidth="1"/>
    <col min="4" max="5" width="14.85546875" customWidth="1"/>
    <col min="6" max="6" width="16.140625" customWidth="1"/>
    <col min="7" max="9" width="15.7109375" customWidth="1"/>
    <col min="10" max="16384" width="10.85546875" hidden="1"/>
  </cols>
  <sheetData>
    <row r="1" spans="1:10 16384:16384" ht="17.100000000000001" customHeight="1" thickBot="1" x14ac:dyDescent="0.45">
      <c r="A1" s="113" t="s">
        <v>8</v>
      </c>
      <c r="B1" s="110"/>
      <c r="C1" s="114"/>
      <c r="D1" s="112" t="s">
        <v>2</v>
      </c>
      <c r="E1" s="112"/>
      <c r="F1" s="112" t="s">
        <v>3</v>
      </c>
      <c r="G1" s="110" t="s">
        <v>84</v>
      </c>
      <c r="H1" s="110"/>
      <c r="I1" s="110"/>
      <c r="J1" s="75"/>
      <c r="XFD1" s="94"/>
    </row>
    <row r="2" spans="1:10 16384:16384" ht="32.1" customHeight="1" thickBot="1" x14ac:dyDescent="0.45">
      <c r="A2" s="48" t="s">
        <v>6</v>
      </c>
      <c r="B2" s="48"/>
      <c r="C2" s="48" t="s">
        <v>7</v>
      </c>
      <c r="D2" s="48" t="s">
        <v>4</v>
      </c>
      <c r="E2" s="48" t="s">
        <v>5</v>
      </c>
      <c r="F2" s="112"/>
      <c r="G2" s="63" t="s">
        <v>81</v>
      </c>
      <c r="H2" s="63" t="s">
        <v>85</v>
      </c>
      <c r="I2" s="63" t="s">
        <v>86</v>
      </c>
      <c r="J2" s="75"/>
      <c r="XFD2" s="94"/>
    </row>
    <row r="3" spans="1:10 16384:16384" ht="20.25" thickBot="1" x14ac:dyDescent="0.45">
      <c r="A3" s="1">
        <v>0</v>
      </c>
      <c r="B3" s="1" t="s">
        <v>7</v>
      </c>
      <c r="C3" s="1">
        <v>32000</v>
      </c>
      <c r="D3" s="74">
        <v>110</v>
      </c>
      <c r="E3" s="74">
        <v>90</v>
      </c>
      <c r="F3" s="75">
        <v>8</v>
      </c>
      <c r="G3" s="75">
        <v>16</v>
      </c>
      <c r="H3" s="75">
        <v>16</v>
      </c>
      <c r="I3" s="96">
        <v>16</v>
      </c>
      <c r="J3" s="95"/>
      <c r="XFD3" s="94"/>
    </row>
    <row r="4" spans="1:10 16384:16384" ht="20.25" thickBot="1" x14ac:dyDescent="0.45">
      <c r="A4" s="1">
        <v>32001</v>
      </c>
      <c r="B4" s="1" t="s">
        <v>7</v>
      </c>
      <c r="C4" s="1">
        <f>C3+4000</f>
        <v>36000</v>
      </c>
      <c r="D4" s="74">
        <v>102</v>
      </c>
      <c r="E4" s="74">
        <v>82</v>
      </c>
      <c r="F4" s="75">
        <v>7.5</v>
      </c>
      <c r="G4" s="75">
        <v>15</v>
      </c>
      <c r="H4" s="75">
        <v>15</v>
      </c>
      <c r="I4" s="97">
        <v>15</v>
      </c>
      <c r="J4" s="95"/>
      <c r="XFD4" s="94"/>
    </row>
    <row r="5" spans="1:10 16384:16384" ht="20.25" thickBot="1" x14ac:dyDescent="0.45">
      <c r="A5" s="1">
        <f>A4+4000</f>
        <v>36001</v>
      </c>
      <c r="B5" s="1" t="s">
        <v>7</v>
      </c>
      <c r="C5" s="1">
        <f t="shared" ref="C5" si="0">C4+4000</f>
        <v>40000</v>
      </c>
      <c r="D5" s="74">
        <v>94</v>
      </c>
      <c r="E5" s="74">
        <v>74</v>
      </c>
      <c r="F5" s="75">
        <v>7</v>
      </c>
      <c r="G5" s="75">
        <v>14</v>
      </c>
      <c r="H5" s="75">
        <v>14</v>
      </c>
      <c r="I5" s="97">
        <v>14</v>
      </c>
      <c r="J5" s="95"/>
      <c r="XFD5" s="94"/>
    </row>
    <row r="6" spans="1:10 16384:16384" ht="20.25" thickBot="1" x14ac:dyDescent="0.45">
      <c r="A6" s="1">
        <f t="shared" ref="A6:A16" si="1">A5+4000</f>
        <v>40001</v>
      </c>
      <c r="B6" s="1" t="s">
        <v>7</v>
      </c>
      <c r="C6" s="1">
        <f t="shared" ref="C6:C15" si="2">C5+4000</f>
        <v>44000</v>
      </c>
      <c r="D6" s="74">
        <v>88</v>
      </c>
      <c r="E6" s="74">
        <v>68</v>
      </c>
      <c r="F6" s="75">
        <v>6.5</v>
      </c>
      <c r="G6" s="75">
        <v>13</v>
      </c>
      <c r="H6" s="75">
        <v>13</v>
      </c>
      <c r="I6" s="97">
        <v>13</v>
      </c>
      <c r="J6" s="95"/>
      <c r="XFD6" s="94"/>
    </row>
    <row r="7" spans="1:10 16384:16384" ht="20.25" thickBot="1" x14ac:dyDescent="0.45">
      <c r="A7" s="1">
        <f t="shared" si="1"/>
        <v>44001</v>
      </c>
      <c r="B7" s="1" t="s">
        <v>7</v>
      </c>
      <c r="C7" s="1">
        <f t="shared" si="2"/>
        <v>48000</v>
      </c>
      <c r="D7" s="74">
        <v>80</v>
      </c>
      <c r="E7" s="74">
        <v>60</v>
      </c>
      <c r="F7" s="75">
        <v>6</v>
      </c>
      <c r="G7" s="75">
        <v>12</v>
      </c>
      <c r="H7" s="75">
        <v>12</v>
      </c>
      <c r="I7" s="97">
        <v>12</v>
      </c>
      <c r="J7" s="95"/>
      <c r="XFD7" s="94"/>
    </row>
    <row r="8" spans="1:10 16384:16384" ht="20.25" thickBot="1" x14ac:dyDescent="0.45">
      <c r="A8" s="1">
        <f t="shared" si="1"/>
        <v>48001</v>
      </c>
      <c r="B8" s="1" t="s">
        <v>7</v>
      </c>
      <c r="C8" s="1">
        <f t="shared" si="2"/>
        <v>52000</v>
      </c>
      <c r="D8" s="74">
        <v>72</v>
      </c>
      <c r="E8" s="74">
        <v>52</v>
      </c>
      <c r="F8" s="75">
        <v>5.5</v>
      </c>
      <c r="G8" s="75">
        <v>11</v>
      </c>
      <c r="H8" s="75">
        <v>11</v>
      </c>
      <c r="I8" s="97">
        <v>11</v>
      </c>
      <c r="J8" s="95"/>
      <c r="XFD8" s="94"/>
    </row>
    <row r="9" spans="1:10 16384:16384" ht="20.25" thickBot="1" x14ac:dyDescent="0.45">
      <c r="A9" s="1">
        <f t="shared" si="1"/>
        <v>52001</v>
      </c>
      <c r="B9" s="1" t="s">
        <v>7</v>
      </c>
      <c r="C9" s="1">
        <f t="shared" si="2"/>
        <v>56000</v>
      </c>
      <c r="D9" s="74">
        <v>64</v>
      </c>
      <c r="E9" s="74">
        <v>44</v>
      </c>
      <c r="F9" s="75">
        <v>5</v>
      </c>
      <c r="G9" s="75">
        <v>10</v>
      </c>
      <c r="H9" s="75">
        <v>10</v>
      </c>
      <c r="I9" s="97">
        <v>10</v>
      </c>
      <c r="J9" s="95"/>
      <c r="XFD9" s="94"/>
    </row>
    <row r="10" spans="1:10 16384:16384" ht="20.25" thickBot="1" x14ac:dyDescent="0.45">
      <c r="A10" s="1">
        <f t="shared" si="1"/>
        <v>56001</v>
      </c>
      <c r="B10" s="1" t="s">
        <v>7</v>
      </c>
      <c r="C10" s="1">
        <f t="shared" si="2"/>
        <v>60000</v>
      </c>
      <c r="D10" s="74">
        <v>56</v>
      </c>
      <c r="E10" s="74">
        <v>36</v>
      </c>
      <c r="F10" s="75">
        <v>4.5</v>
      </c>
      <c r="G10" s="75">
        <v>9</v>
      </c>
      <c r="H10" s="75">
        <v>9</v>
      </c>
      <c r="I10" s="97">
        <v>9</v>
      </c>
      <c r="J10" s="95"/>
      <c r="XFD10" s="94"/>
    </row>
    <row r="11" spans="1:10 16384:16384" ht="20.25" thickBot="1" x14ac:dyDescent="0.45">
      <c r="A11" s="1">
        <f t="shared" si="1"/>
        <v>60001</v>
      </c>
      <c r="B11" s="1" t="s">
        <v>7</v>
      </c>
      <c r="C11" s="1">
        <f t="shared" si="2"/>
        <v>64000</v>
      </c>
      <c r="D11" s="74">
        <v>50</v>
      </c>
      <c r="E11" s="74">
        <v>30</v>
      </c>
      <c r="F11" s="75">
        <v>4</v>
      </c>
      <c r="G11" s="75">
        <v>8</v>
      </c>
      <c r="H11" s="75">
        <v>8</v>
      </c>
      <c r="I11" s="97">
        <v>8</v>
      </c>
      <c r="J11" s="95"/>
      <c r="XFD11" s="94"/>
    </row>
    <row r="12" spans="1:10 16384:16384" ht="20.25" thickBot="1" x14ac:dyDescent="0.45">
      <c r="A12" s="1">
        <f t="shared" si="1"/>
        <v>64001</v>
      </c>
      <c r="B12" s="1" t="s">
        <v>7</v>
      </c>
      <c r="C12" s="1">
        <f t="shared" si="2"/>
        <v>68000</v>
      </c>
      <c r="D12" s="74">
        <v>44</v>
      </c>
      <c r="E12" s="74">
        <v>24</v>
      </c>
      <c r="F12" s="75">
        <v>3.5</v>
      </c>
      <c r="G12" s="75">
        <v>7</v>
      </c>
      <c r="H12" s="75">
        <v>7</v>
      </c>
      <c r="I12" s="97">
        <v>7</v>
      </c>
      <c r="J12" s="95"/>
      <c r="XFD12" s="94"/>
    </row>
    <row r="13" spans="1:10 16384:16384" ht="20.25" thickBot="1" x14ac:dyDescent="0.45">
      <c r="A13" s="1">
        <f t="shared" si="1"/>
        <v>68001</v>
      </c>
      <c r="B13" s="1" t="s">
        <v>7</v>
      </c>
      <c r="C13" s="1">
        <f t="shared" si="2"/>
        <v>72000</v>
      </c>
      <c r="D13" s="74">
        <v>38</v>
      </c>
      <c r="E13" s="74">
        <v>18</v>
      </c>
      <c r="F13" s="75">
        <v>3</v>
      </c>
      <c r="G13" s="75">
        <v>6</v>
      </c>
      <c r="H13" s="75">
        <v>6</v>
      </c>
      <c r="I13" s="97">
        <v>6</v>
      </c>
      <c r="J13" s="95"/>
      <c r="XFD13" s="94"/>
    </row>
    <row r="14" spans="1:10 16384:16384" ht="20.25" thickBot="1" x14ac:dyDescent="0.45">
      <c r="A14" s="1">
        <f t="shared" si="1"/>
        <v>72001</v>
      </c>
      <c r="B14" s="1" t="s">
        <v>7</v>
      </c>
      <c r="C14" s="1">
        <f t="shared" si="2"/>
        <v>76000</v>
      </c>
      <c r="D14" s="74">
        <v>30</v>
      </c>
      <c r="E14" s="74">
        <v>14</v>
      </c>
      <c r="F14" s="75">
        <v>2</v>
      </c>
      <c r="G14" s="75">
        <v>5</v>
      </c>
      <c r="H14" s="75">
        <v>5</v>
      </c>
      <c r="I14" s="97">
        <v>5</v>
      </c>
      <c r="J14" s="95"/>
      <c r="XFD14" s="94"/>
    </row>
    <row r="15" spans="1:10 16384:16384" ht="20.25" thickBot="1" x14ac:dyDescent="0.45">
      <c r="A15" s="1">
        <f t="shared" si="1"/>
        <v>76001</v>
      </c>
      <c r="B15" s="1" t="s">
        <v>7</v>
      </c>
      <c r="C15" s="1">
        <f t="shared" si="2"/>
        <v>80000</v>
      </c>
      <c r="D15" s="74">
        <v>20</v>
      </c>
      <c r="E15" s="74">
        <v>10</v>
      </c>
      <c r="F15" s="75">
        <v>1</v>
      </c>
      <c r="G15" s="75">
        <v>4</v>
      </c>
      <c r="H15" s="75">
        <v>4</v>
      </c>
      <c r="I15" s="97">
        <v>4</v>
      </c>
      <c r="J15" s="95"/>
      <c r="XFD15" s="94"/>
    </row>
    <row r="16" spans="1:10 16384:16384" ht="20.25" thickBot="1" x14ac:dyDescent="0.45">
      <c r="A16" s="1">
        <f t="shared" si="1"/>
        <v>80001</v>
      </c>
      <c r="B16" s="1" t="s">
        <v>7</v>
      </c>
      <c r="C16" s="1">
        <v>9999999</v>
      </c>
      <c r="D16" s="74">
        <v>0</v>
      </c>
      <c r="E16" s="74">
        <v>0</v>
      </c>
      <c r="F16" s="75">
        <v>0</v>
      </c>
      <c r="G16" s="75">
        <v>0</v>
      </c>
      <c r="H16" s="75">
        <v>0</v>
      </c>
      <c r="I16" s="97">
        <v>0</v>
      </c>
      <c r="J16" s="95"/>
      <c r="XFD16" s="94"/>
    </row>
    <row r="17" spans="1:10 16384:16384" ht="20.25" thickBot="1" x14ac:dyDescent="0.45">
      <c r="A17" s="111" t="s">
        <v>40</v>
      </c>
      <c r="B17" s="111"/>
      <c r="C17" s="111"/>
      <c r="D17" s="74">
        <v>10</v>
      </c>
      <c r="E17" s="74">
        <v>10</v>
      </c>
      <c r="F17" s="75">
        <v>1</v>
      </c>
      <c r="G17" s="75">
        <v>4</v>
      </c>
      <c r="H17" s="75">
        <v>2</v>
      </c>
      <c r="I17" s="97">
        <v>2</v>
      </c>
      <c r="J17" s="95"/>
      <c r="XFD17" s="94"/>
    </row>
    <row r="18" spans="1:10 16384:16384" ht="20.25" thickBot="1" x14ac:dyDescent="0.45">
      <c r="A18" s="111" t="s">
        <v>87</v>
      </c>
      <c r="B18" s="111"/>
      <c r="C18" s="111"/>
      <c r="D18" s="74">
        <v>20</v>
      </c>
      <c r="E18" s="74">
        <v>20</v>
      </c>
      <c r="F18" s="75">
        <v>2</v>
      </c>
      <c r="G18" s="75">
        <v>8</v>
      </c>
      <c r="H18" s="75">
        <v>4</v>
      </c>
      <c r="I18" s="97">
        <v>4</v>
      </c>
      <c r="J18" s="95"/>
      <c r="XFD18" s="94"/>
    </row>
  </sheetData>
  <sheetProtection password="FE71" sheet="1" objects="1" scenarios="1" selectLockedCells="1"/>
  <mergeCells count="6">
    <mergeCell ref="G1:I1"/>
    <mergeCell ref="A18:C18"/>
    <mergeCell ref="D1:E1"/>
    <mergeCell ref="F1:F2"/>
    <mergeCell ref="A1:C1"/>
    <mergeCell ref="A17:C17"/>
  </mergeCells>
  <pageMargins left="0.70866141732283472" right="0.70866141732283472" top="1.1023622047244095" bottom="0.78740157480314965" header="0.31496062992125984" footer="0.31496062992125984"/>
  <pageSetup paperSize="9" scale="66" fitToHeight="0" orientation="portrait" r:id="rId1"/>
  <headerFooter>
    <oddHeader>&amp;R&amp;"Gill Sans MT,Standard"&amp;9Copyright: Büro Communis GmbH, Luzern (2018)</oddHeader>
    <oddFooter>&amp;L&amp;"Gill Sans MT,Standard"&amp;9&amp;F&amp;R&amp;"Gill Sans MT,Standard"&amp;9Seite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6</vt:i4>
      </vt:variant>
    </vt:vector>
  </HeadingPairs>
  <TitlesOfParts>
    <vt:vector size="10" baseType="lpstr">
      <vt:lpstr>1. Kind und Zusammenfassung</vt:lpstr>
      <vt:lpstr>2. Kind</vt:lpstr>
      <vt:lpstr>3. Kind</vt:lpstr>
      <vt:lpstr>Tabelle Betreuungsgutscheine</vt:lpstr>
      <vt:lpstr>'1. Kind und Zusammenfassung'!Druckbereich</vt:lpstr>
      <vt:lpstr>'2. Kind'!Druckbereich</vt:lpstr>
      <vt:lpstr>'3. Kind'!Druckbereich</vt:lpstr>
      <vt:lpstr>'1. Kind und Zusammenfassung'!Drucktitel</vt:lpstr>
      <vt:lpstr>'2. Kind'!Drucktitel</vt:lpstr>
      <vt:lpstr>'3. Kind'!Drucktitel</vt:lpstr>
    </vt:vector>
  </TitlesOfParts>
  <Company>Stadtverwaltung ZUG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Bonati Thomas</dc:creator>
  <cp:lastModifiedBy>rz</cp:lastModifiedBy>
  <cp:lastPrinted>2018-04-18T14:25:45Z</cp:lastPrinted>
  <dcterms:created xsi:type="dcterms:W3CDTF">2015-05-12T07:08:36Z</dcterms:created>
  <dcterms:modified xsi:type="dcterms:W3CDTF">2018-04-20T12:16:48Z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FALSE</vt:lpwstr>
  </property>
  <property fmtid="{D5CDD505-2E9C-101B-9397-08002B2CF9AE}" pid="3" name="Jet Reports Drill Button Active">
    <vt:bool>false</vt:bool>
  </property>
</Properties>
</file>